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19540" activeTab="2"/>
  </bookViews>
  <sheets>
    <sheet name="Off Prelim" sheetId="5" r:id="rId1"/>
    <sheet name="Off Novice" sheetId="6" r:id="rId2"/>
    <sheet name="Off Elem" sheetId="7" r:id="rId3"/>
  </sheets>
  <definedNames>
    <definedName name="_xlnm.Print_Area" localSheetId="2">'Off Elem'!$A$5:$Q$29</definedName>
    <definedName name="_xlnm.Print_Area" localSheetId="1">'Off Novice'!$A$5:$P$18</definedName>
    <definedName name="_xlnm.Print_Area" localSheetId="0">'Off Prelim'!$A$5:$M$23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7" l="1"/>
  <c r="M26" i="7"/>
  <c r="O26" i="7"/>
  <c r="K23" i="7"/>
  <c r="M23" i="7"/>
  <c r="O23" i="7"/>
  <c r="K24" i="7"/>
  <c r="M24" i="7"/>
  <c r="O24" i="7"/>
  <c r="K25" i="7"/>
  <c r="M25" i="7"/>
  <c r="O25" i="7"/>
  <c r="K27" i="7"/>
  <c r="M27" i="7"/>
  <c r="O27" i="7"/>
  <c r="N26" i="7"/>
  <c r="N23" i="7"/>
  <c r="N24" i="7"/>
  <c r="N28" i="7"/>
  <c r="N29" i="7"/>
  <c r="N25" i="7"/>
  <c r="N27" i="7"/>
  <c r="K9" i="7"/>
  <c r="M9" i="7"/>
  <c r="O9" i="7"/>
  <c r="K13" i="7"/>
  <c r="M13" i="7"/>
  <c r="O13" i="7"/>
  <c r="K10" i="7"/>
  <c r="M10" i="7"/>
  <c r="O10" i="7"/>
  <c r="K12" i="7"/>
  <c r="M12" i="7"/>
  <c r="O12" i="7"/>
  <c r="K11" i="7"/>
  <c r="M11" i="7"/>
  <c r="O11" i="7"/>
  <c r="K14" i="7"/>
  <c r="M14" i="7"/>
  <c r="O14" i="7"/>
  <c r="N9" i="7"/>
  <c r="N13" i="7"/>
  <c r="N10" i="7"/>
  <c r="N15" i="7"/>
  <c r="N16" i="7"/>
  <c r="N12" i="7"/>
  <c r="N17" i="7"/>
  <c r="N11" i="7"/>
  <c r="N14" i="7"/>
  <c r="K28" i="6"/>
  <c r="M28" i="6"/>
  <c r="O28" i="6"/>
  <c r="K29" i="6"/>
  <c r="M29" i="6"/>
  <c r="O29" i="6"/>
  <c r="K30" i="6"/>
  <c r="M30" i="6"/>
  <c r="O30" i="6"/>
  <c r="K27" i="6"/>
  <c r="M27" i="6"/>
  <c r="O27" i="6"/>
  <c r="K26" i="6"/>
  <c r="M26" i="6"/>
  <c r="O26" i="6"/>
  <c r="K25" i="6"/>
  <c r="M25" i="6"/>
  <c r="O25" i="6"/>
  <c r="K24" i="6"/>
  <c r="M24" i="6"/>
  <c r="O24" i="6"/>
  <c r="N28" i="6"/>
  <c r="N29" i="6"/>
  <c r="N30" i="6"/>
  <c r="N27" i="6"/>
  <c r="N26" i="6"/>
  <c r="N25" i="6"/>
  <c r="N24" i="6"/>
  <c r="K15" i="6"/>
  <c r="M15" i="6"/>
  <c r="O15" i="6"/>
  <c r="K14" i="6"/>
  <c r="M14" i="6"/>
  <c r="O14" i="6"/>
  <c r="K13" i="6"/>
  <c r="M13" i="6"/>
  <c r="O13" i="6"/>
  <c r="K11" i="6"/>
  <c r="M11" i="6"/>
  <c r="O11" i="6"/>
  <c r="K12" i="6"/>
  <c r="M12" i="6"/>
  <c r="O12" i="6"/>
  <c r="K10" i="6"/>
  <c r="M10" i="6"/>
  <c r="O10" i="6"/>
  <c r="O17" i="6"/>
  <c r="O18" i="6"/>
  <c r="K16" i="6"/>
  <c r="M16" i="6"/>
  <c r="O16" i="6"/>
  <c r="K9" i="6"/>
  <c r="M9" i="6"/>
  <c r="O9" i="6"/>
  <c r="N15" i="6"/>
  <c r="N14" i="6"/>
  <c r="N13" i="6"/>
  <c r="N11" i="6"/>
  <c r="N12" i="6"/>
  <c r="N10" i="6"/>
  <c r="N17" i="6"/>
  <c r="N18" i="6"/>
  <c r="N16" i="6"/>
  <c r="N9" i="6"/>
  <c r="K32" i="5"/>
  <c r="K36" i="5"/>
  <c r="K41" i="5"/>
  <c r="M41" i="5"/>
  <c r="M36" i="5"/>
  <c r="M32" i="5"/>
  <c r="M35" i="5"/>
  <c r="M33" i="5"/>
  <c r="K35" i="5"/>
  <c r="K33" i="5"/>
  <c r="K18" i="5"/>
  <c r="K11" i="5"/>
  <c r="K10" i="5"/>
  <c r="K14" i="5"/>
  <c r="K20" i="5"/>
  <c r="K15" i="5"/>
  <c r="M30" i="5"/>
  <c r="K30" i="5"/>
  <c r="K37" i="5"/>
  <c r="K39" i="5"/>
  <c r="K31" i="5"/>
  <c r="K34" i="5"/>
  <c r="M31" i="5"/>
  <c r="M39" i="5"/>
  <c r="M37" i="5"/>
  <c r="M34" i="5"/>
  <c r="K13" i="5"/>
  <c r="K40" i="5"/>
  <c r="M40" i="5"/>
  <c r="O40" i="5"/>
  <c r="O30" i="5"/>
  <c r="K38" i="5"/>
  <c r="M38" i="5"/>
  <c r="O38" i="5"/>
  <c r="O31" i="5"/>
  <c r="O39" i="5"/>
  <c r="O34" i="5"/>
  <c r="O42" i="5"/>
  <c r="O37" i="5"/>
  <c r="O43" i="5"/>
  <c r="O44" i="5"/>
  <c r="O41" i="5"/>
  <c r="O36" i="5"/>
  <c r="O32" i="5"/>
  <c r="O35" i="5"/>
  <c r="O33" i="5"/>
  <c r="O45" i="5"/>
  <c r="K29" i="5"/>
  <c r="M29" i="5"/>
  <c r="O29" i="5"/>
  <c r="N40" i="5"/>
  <c r="N30" i="5"/>
  <c r="N38" i="5"/>
  <c r="N31" i="5"/>
  <c r="N39" i="5"/>
  <c r="N34" i="5"/>
  <c r="N42" i="5"/>
  <c r="N37" i="5"/>
  <c r="N43" i="5"/>
  <c r="N44" i="5"/>
  <c r="N41" i="5"/>
  <c r="N36" i="5"/>
  <c r="N32" i="5"/>
  <c r="N35" i="5"/>
  <c r="N33" i="5"/>
  <c r="N45" i="5"/>
  <c r="N29" i="5"/>
  <c r="K12" i="5"/>
  <c r="K9" i="5"/>
  <c r="K19" i="5"/>
  <c r="K8" i="5"/>
  <c r="K17" i="5"/>
  <c r="K16" i="5"/>
</calcChain>
</file>

<file path=xl/sharedStrings.xml><?xml version="1.0" encoding="utf-8"?>
<sst xmlns="http://schemas.openxmlformats.org/spreadsheetml/2006/main" count="524" uniqueCount="196">
  <si>
    <t>No</t>
  </si>
  <si>
    <t xml:space="preserve">Georgia </t>
  </si>
  <si>
    <t>Sarah</t>
  </si>
  <si>
    <t>First Name</t>
  </si>
  <si>
    <t>Last Name</t>
  </si>
  <si>
    <t xml:space="preserve"> Membership Number</t>
  </si>
  <si>
    <t>Horse's Competition Name</t>
  </si>
  <si>
    <t>Horse EA No</t>
  </si>
  <si>
    <t>Bridle No</t>
  </si>
  <si>
    <t xml:space="preserve">Liana </t>
  </si>
  <si>
    <t>Amott</t>
  </si>
  <si>
    <t>Yes</t>
  </si>
  <si>
    <t>3103953</t>
  </si>
  <si>
    <t>Kings Town Gideon</t>
  </si>
  <si>
    <t>30502292</t>
  </si>
  <si>
    <t>P452</t>
  </si>
  <si>
    <t>Sidney</t>
  </si>
  <si>
    <t>Churchman</t>
  </si>
  <si>
    <t>3200626</t>
  </si>
  <si>
    <t>Jaylyn Downs Western</t>
  </si>
  <si>
    <t>30591514</t>
  </si>
  <si>
    <t>Janet</t>
  </si>
  <si>
    <t>Mould</t>
  </si>
  <si>
    <t>2101611</t>
  </si>
  <si>
    <t>Simsalabim</t>
  </si>
  <si>
    <t>20090001</t>
  </si>
  <si>
    <t>Rebecca</t>
  </si>
  <si>
    <t>Campbell</t>
  </si>
  <si>
    <t>3201816</t>
  </si>
  <si>
    <t>Elke H</t>
  </si>
  <si>
    <t>30501713</t>
  </si>
  <si>
    <t>Margaret</t>
  </si>
  <si>
    <t>Howard</t>
  </si>
  <si>
    <t>3004198</t>
  </si>
  <si>
    <t>Guignol</t>
  </si>
  <si>
    <t>30046692</t>
  </si>
  <si>
    <t>Robyn</t>
  </si>
  <si>
    <t>Hatfield</t>
  </si>
  <si>
    <t>3031683</t>
  </si>
  <si>
    <t>Let's Delight</t>
  </si>
  <si>
    <t>30045564</t>
  </si>
  <si>
    <t>Nicole</t>
  </si>
  <si>
    <t>Vanatta</t>
  </si>
  <si>
    <t>3056074</t>
  </si>
  <si>
    <t>Hollingrove Saffron</t>
  </si>
  <si>
    <t>30502253</t>
  </si>
  <si>
    <t>3106708</t>
  </si>
  <si>
    <t>adagio royal decree</t>
  </si>
  <si>
    <t>30501895</t>
  </si>
  <si>
    <t>Pamela</t>
  </si>
  <si>
    <t>Hall</t>
  </si>
  <si>
    <t>3098142</t>
  </si>
  <si>
    <t>Aperitif</t>
  </si>
  <si>
    <t>30501460</t>
  </si>
  <si>
    <t>Ian</t>
  </si>
  <si>
    <t>Balfour</t>
  </si>
  <si>
    <t>3009629</t>
  </si>
  <si>
    <t>La Niña Romanza</t>
  </si>
  <si>
    <t>30047386</t>
  </si>
  <si>
    <t>Bloomfield Forrest Gump (pending)</t>
  </si>
  <si>
    <t>Pending</t>
  </si>
  <si>
    <t xml:space="preserve">Erin </t>
  </si>
  <si>
    <t>O'Gorman</t>
  </si>
  <si>
    <t>3104896</t>
  </si>
  <si>
    <t>Araluendowns Piper</t>
  </si>
  <si>
    <t>30501977</t>
  </si>
  <si>
    <t xml:space="preserve">Rosemary </t>
  </si>
  <si>
    <t>Nicholson</t>
  </si>
  <si>
    <t>3106327</t>
  </si>
  <si>
    <t>Sally</t>
  </si>
  <si>
    <t>Avery</t>
  </si>
  <si>
    <t>3041654</t>
  </si>
  <si>
    <t>Lakeview Skye</t>
  </si>
  <si>
    <t>30502231</t>
  </si>
  <si>
    <t>Erin</t>
  </si>
  <si>
    <t>Berryman</t>
  </si>
  <si>
    <t>Cavallo Park Braveheart</t>
  </si>
  <si>
    <t xml:space="preserve">Debbie </t>
  </si>
  <si>
    <t>Williams</t>
  </si>
  <si>
    <t>3004481</t>
  </si>
  <si>
    <t>Hollingrove Rihanna</t>
  </si>
  <si>
    <t>30047092</t>
  </si>
  <si>
    <t xml:space="preserve">Kemp </t>
  </si>
  <si>
    <t>3105488</t>
  </si>
  <si>
    <t xml:space="preserve">Jazdan Persian prince </t>
  </si>
  <si>
    <t>30500279</t>
  </si>
  <si>
    <t xml:space="preserve">Sue </t>
  </si>
  <si>
    <t>Chandler</t>
  </si>
  <si>
    <t>3095752</t>
  </si>
  <si>
    <t>M.C Harmony</t>
  </si>
  <si>
    <t>30043535</t>
  </si>
  <si>
    <t>1009079</t>
  </si>
  <si>
    <t xml:space="preserve">Ashleigh </t>
  </si>
  <si>
    <t>Atwell</t>
  </si>
  <si>
    <t>3099998</t>
  </si>
  <si>
    <t>Champagne Perrier</t>
  </si>
  <si>
    <t>30502225</t>
  </si>
  <si>
    <t xml:space="preserve">Hillary </t>
  </si>
  <si>
    <t xml:space="preserve">McGregor-Potter </t>
  </si>
  <si>
    <t>3106689</t>
  </si>
  <si>
    <t xml:space="preserve">The All Black </t>
  </si>
  <si>
    <t>30047618</t>
  </si>
  <si>
    <t>Anna</t>
  </si>
  <si>
    <t>Thirkell</t>
  </si>
  <si>
    <t>3097513</t>
  </si>
  <si>
    <t>Croftcnoc Argyle</t>
  </si>
  <si>
    <t>30500283</t>
  </si>
  <si>
    <t>P3490</t>
  </si>
  <si>
    <t>Ashleigh</t>
  </si>
  <si>
    <t>Heatherton Park Bounce</t>
  </si>
  <si>
    <t>30046745</t>
  </si>
  <si>
    <t>Lauren</t>
  </si>
  <si>
    <t>Hickey</t>
  </si>
  <si>
    <t>3201476</t>
  </si>
  <si>
    <t>Thistledo Bonroy</t>
  </si>
  <si>
    <t>30502262</t>
  </si>
  <si>
    <t>Ward</t>
  </si>
  <si>
    <t>3099919</t>
  </si>
  <si>
    <t>Alawyn Esther</t>
  </si>
  <si>
    <t>20093848</t>
  </si>
  <si>
    <t>Bianca</t>
  </si>
  <si>
    <t>Joyce</t>
  </si>
  <si>
    <t>3104120</t>
  </si>
  <si>
    <t>Heatherton Park Danzermeyer</t>
  </si>
  <si>
    <t>David</t>
  </si>
  <si>
    <t>Jaybee Alkaban</t>
  </si>
  <si>
    <t>Oconnor</t>
  </si>
  <si>
    <t>3096525</t>
  </si>
  <si>
    <t>Mayfield whim</t>
  </si>
  <si>
    <t>30043888</t>
  </si>
  <si>
    <t xml:space="preserve">Keryn </t>
  </si>
  <si>
    <t>Conners</t>
  </si>
  <si>
    <t>3003205</t>
  </si>
  <si>
    <t>Good Time</t>
  </si>
  <si>
    <t>TBA</t>
  </si>
  <si>
    <t>P2825</t>
  </si>
  <si>
    <t xml:space="preserve">Caitlyn </t>
  </si>
  <si>
    <t>Porter</t>
  </si>
  <si>
    <t>1010658</t>
  </si>
  <si>
    <t>Marena Display</t>
  </si>
  <si>
    <t>30038908</t>
  </si>
  <si>
    <t>P1068</t>
  </si>
  <si>
    <t>AOR</t>
  </si>
  <si>
    <t>Judge - Wendye Myers</t>
  </si>
  <si>
    <t>Judge - Bev Shandley &amp; Bianca Joyce</t>
  </si>
  <si>
    <t>Official 2.3</t>
  </si>
  <si>
    <t>Judges - Rick Thirkell &amp; Anna Thirkell</t>
  </si>
  <si>
    <t>Official 3.2</t>
  </si>
  <si>
    <t>Judges - Keryn Conners &amp; Rick Thirkell</t>
  </si>
  <si>
    <t>Official 3.3</t>
  </si>
  <si>
    <t>Official 2.2</t>
  </si>
  <si>
    <t>Judges - Wendye Myers &amp; Bev Shandley</t>
  </si>
  <si>
    <t>Evans</t>
  </si>
  <si>
    <t xml:space="preserve">Rosalie </t>
  </si>
  <si>
    <t xml:space="preserve">Official 1.2 </t>
  </si>
  <si>
    <t>Official 1.3</t>
  </si>
  <si>
    <t>Burrabong Ty</t>
  </si>
  <si>
    <t>P3267</t>
  </si>
  <si>
    <t>Suzanne</t>
  </si>
  <si>
    <t>Heislers</t>
  </si>
  <si>
    <t>Liljana</t>
  </si>
  <si>
    <t>Score C</t>
  </si>
  <si>
    <t>%</t>
  </si>
  <si>
    <t>Place</t>
  </si>
  <si>
    <t>Score - Bev Shandley @ C</t>
  </si>
  <si>
    <t>Score - Bianca Joyce @ M</t>
  </si>
  <si>
    <t>TOTAL</t>
  </si>
  <si>
    <t>MARKS</t>
  </si>
  <si>
    <t>PLACE</t>
  </si>
  <si>
    <t>Score- Wendye Myers@ C</t>
  </si>
  <si>
    <t>Score - Rick Thirkell @ C</t>
  </si>
  <si>
    <t>Corinne</t>
  </si>
  <si>
    <t>Winch</t>
  </si>
  <si>
    <t>Donnerstag</t>
  </si>
  <si>
    <t>1st</t>
  </si>
  <si>
    <t>2nd</t>
  </si>
  <si>
    <t>3rd</t>
  </si>
  <si>
    <r>
      <t xml:space="preserve">Score </t>
    </r>
    <r>
      <rPr>
        <b/>
        <sz val="11"/>
        <rFont val="Calibri"/>
        <scheme val="minor"/>
      </rPr>
      <t>H</t>
    </r>
  </si>
  <si>
    <t>Retired</t>
  </si>
  <si>
    <t>Scratched</t>
  </si>
  <si>
    <t>Ret</t>
  </si>
  <si>
    <t>Scr</t>
  </si>
  <si>
    <t>SCR</t>
  </si>
  <si>
    <r>
      <t xml:space="preserve">Score - Anna Thirkell @ </t>
    </r>
    <r>
      <rPr>
        <b/>
        <sz val="11"/>
        <color indexed="8"/>
        <rFont val="Calibri"/>
        <scheme val="minor"/>
      </rPr>
      <t>B</t>
    </r>
  </si>
  <si>
    <r>
      <t xml:space="preserve">Score - Wendye Myers @ </t>
    </r>
    <r>
      <rPr>
        <b/>
        <sz val="11"/>
        <color indexed="8"/>
        <rFont val="Calibri"/>
        <scheme val="minor"/>
      </rPr>
      <t>E</t>
    </r>
  </si>
  <si>
    <r>
      <t xml:space="preserve">Score - Rick Thirkell @ </t>
    </r>
    <r>
      <rPr>
        <b/>
        <sz val="11"/>
        <color indexed="8"/>
        <rFont val="Calibri"/>
        <scheme val="minor"/>
      </rPr>
      <t>C</t>
    </r>
  </si>
  <si>
    <r>
      <t>Score - Keryn Conners @</t>
    </r>
    <r>
      <rPr>
        <b/>
        <sz val="11"/>
        <color indexed="8"/>
        <rFont val="Calibri"/>
        <scheme val="minor"/>
      </rPr>
      <t xml:space="preserve"> E</t>
    </r>
  </si>
  <si>
    <r>
      <t xml:space="preserve">Score - Wendye Myers @ </t>
    </r>
    <r>
      <rPr>
        <b/>
        <sz val="11"/>
        <color indexed="8"/>
        <rFont val="Calibri"/>
        <scheme val="minor"/>
      </rPr>
      <t>C</t>
    </r>
  </si>
  <si>
    <r>
      <t xml:space="preserve">Score - Bev Shandley @ </t>
    </r>
    <r>
      <rPr>
        <b/>
        <sz val="11"/>
        <color indexed="8"/>
        <rFont val="Calibri"/>
        <scheme val="minor"/>
      </rPr>
      <t>B</t>
    </r>
  </si>
  <si>
    <t>SCr</t>
  </si>
  <si>
    <t>Date:</t>
  </si>
  <si>
    <t>Comp: Sale &amp; District Showjumping Club Inc - Official EA Dressage Comp</t>
  </si>
  <si>
    <t>Venue:</t>
  </si>
  <si>
    <t>Sale Showgrounds</t>
  </si>
  <si>
    <t>Contact:</t>
  </si>
  <si>
    <t>Shannon Perkins 0408 148 552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</si>
</sst>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0.000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6" borderId="0" xfId="0" applyFont="1" applyFill="1"/>
    <xf numFmtId="0" fontId="4" fillId="6" borderId="0" xfId="0" applyFont="1" applyFill="1"/>
    <xf numFmtId="164" fontId="6" fillId="7" borderId="0" xfId="0" applyNumberFormat="1" applyFont="1" applyFill="1"/>
    <xf numFmtId="0" fontId="6" fillId="7" borderId="0" xfId="0" applyFont="1" applyFill="1"/>
    <xf numFmtId="0" fontId="4" fillId="7" borderId="0" xfId="0" applyFont="1" applyFill="1"/>
    <xf numFmtId="0" fontId="6" fillId="8" borderId="0" xfId="0" applyFont="1" applyFill="1"/>
    <xf numFmtId="0" fontId="4" fillId="8" borderId="0" xfId="0" applyFont="1" applyFill="1"/>
    <xf numFmtId="0" fontId="6" fillId="8" borderId="0" xfId="0" applyFont="1" applyFill="1" applyAlignment="1">
      <alignment horizontal="right"/>
    </xf>
    <xf numFmtId="164" fontId="6" fillId="6" borderId="0" xfId="0" applyNumberFormat="1" applyFont="1" applyFill="1"/>
    <xf numFmtId="165" fontId="6" fillId="8" borderId="0" xfId="0" applyNumberFormat="1" applyFont="1" applyFill="1"/>
    <xf numFmtId="165" fontId="4" fillId="8" borderId="0" xfId="0" applyNumberFormat="1" applyFont="1" applyFill="1"/>
    <xf numFmtId="165" fontId="4" fillId="0" borderId="0" xfId="0" applyNumberFormat="1" applyFont="1" applyFill="1"/>
    <xf numFmtId="165" fontId="4" fillId="6" borderId="0" xfId="0" applyNumberFormat="1" applyFont="1" applyFill="1"/>
    <xf numFmtId="165" fontId="6" fillId="7" borderId="0" xfId="0" applyNumberFormat="1" applyFont="1" applyFill="1"/>
    <xf numFmtId="165" fontId="4" fillId="7" borderId="0" xfId="0" applyNumberFormat="1" applyFont="1" applyFill="1"/>
    <xf numFmtId="0" fontId="12" fillId="8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4" borderId="1" xfId="0" applyFill="1" applyBorder="1"/>
    <xf numFmtId="0" fontId="0" fillId="9" borderId="1" xfId="0" applyFill="1" applyBorder="1"/>
    <xf numFmtId="0" fontId="0" fillId="0" borderId="1" xfId="0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11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4" fillId="6" borderId="1" xfId="0" applyFont="1" applyFill="1" applyBorder="1"/>
    <xf numFmtId="0" fontId="0" fillId="10" borderId="1" xfId="0" applyFill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4" fillId="6" borderId="1" xfId="0" applyFont="1" applyFill="1" applyBorder="1" applyAlignment="1">
      <alignment horizontal="right"/>
    </xf>
    <xf numFmtId="0" fontId="0" fillId="11" borderId="1" xfId="0" applyFill="1" applyBorder="1"/>
    <xf numFmtId="0" fontId="0" fillId="5" borderId="1" xfId="0" applyFill="1" applyBorder="1"/>
    <xf numFmtId="0" fontId="4" fillId="3" borderId="1" xfId="0" applyFont="1" applyFill="1" applyBorder="1" applyAlignment="1">
      <alignment horizontal="right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right"/>
    </xf>
    <xf numFmtId="0" fontId="0" fillId="12" borderId="1" xfId="0" applyFill="1" applyBorder="1"/>
    <xf numFmtId="49" fontId="4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9" borderId="1" xfId="0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166" fontId="4" fillId="9" borderId="1" xfId="0" applyNumberFormat="1" applyFont="1" applyFill="1" applyBorder="1" applyAlignment="1">
      <alignment horizontal="right"/>
    </xf>
    <xf numFmtId="166" fontId="4" fillId="9" borderId="1" xfId="269" applyNumberFormat="1" applyFont="1" applyFill="1" applyBorder="1" applyAlignment="1">
      <alignment horizontal="right"/>
    </xf>
    <xf numFmtId="166" fontId="10" fillId="9" borderId="1" xfId="0" applyNumberFormat="1" applyFont="1" applyFill="1" applyBorder="1" applyAlignment="1">
      <alignment horizontal="right"/>
    </xf>
    <xf numFmtId="166" fontId="3" fillId="9" borderId="1" xfId="0" applyNumberFormat="1" applyFont="1" applyFill="1" applyBorder="1" applyAlignment="1">
      <alignment horizontal="right"/>
    </xf>
    <xf numFmtId="166" fontId="0" fillId="4" borderId="1" xfId="0" applyNumberFormat="1" applyFill="1" applyBorder="1"/>
    <xf numFmtId="166" fontId="0" fillId="0" borderId="1" xfId="0" applyNumberFormat="1" applyBorder="1"/>
    <xf numFmtId="166" fontId="0" fillId="9" borderId="1" xfId="0" applyNumberFormat="1" applyFill="1" applyBorder="1"/>
    <xf numFmtId="166" fontId="0" fillId="11" borderId="1" xfId="0" applyNumberFormat="1" applyFill="1" applyBorder="1"/>
    <xf numFmtId="166" fontId="0" fillId="5" borderId="1" xfId="0" applyNumberFormat="1" applyFill="1" applyBorder="1"/>
    <xf numFmtId="166" fontId="0" fillId="10" borderId="1" xfId="0" applyNumberFormat="1" applyFill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6" fontId="0" fillId="12" borderId="1" xfId="0" applyNumberFormat="1" applyFill="1" applyBorder="1"/>
    <xf numFmtId="0" fontId="11" fillId="0" borderId="1" xfId="0" applyFont="1" applyBorder="1" applyAlignment="1">
      <alignment horizontal="center"/>
    </xf>
    <xf numFmtId="0" fontId="12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11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/>
    <xf numFmtId="0" fontId="5" fillId="0" borderId="0" xfId="0" applyFont="1"/>
    <xf numFmtId="14" fontId="5" fillId="0" borderId="0" xfId="0" applyNumberFormat="1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12" borderId="2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 wrapText="1"/>
    </xf>
  </cellXfs>
  <cellStyles count="29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Normal" xfId="0" builtinId="0"/>
    <cellStyle name="Percent" xfId="26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150" zoomScaleNormal="150" zoomScalePageLayoutView="150" workbookViewId="0">
      <selection sqref="A1:XFD4"/>
    </sheetView>
  </sheetViews>
  <sheetFormatPr baseColWidth="10" defaultColWidth="8.83203125" defaultRowHeight="14" x14ac:dyDescent="0"/>
  <cols>
    <col min="1" max="1" width="9" customWidth="1"/>
    <col min="2" max="2" width="8.1640625" bestFit="1" customWidth="1"/>
    <col min="3" max="3" width="10.5" customWidth="1"/>
    <col min="4" max="4" width="11" bestFit="1" customWidth="1"/>
    <col min="5" max="5" width="8.6640625" bestFit="1" customWidth="1"/>
    <col min="6" max="6" width="29.33203125" customWidth="1"/>
    <col min="7" max="7" width="9.1640625" bestFit="1" customWidth="1"/>
    <col min="8" max="8" width="4.83203125" bestFit="1" customWidth="1"/>
    <col min="9" max="9" width="8.33203125" bestFit="1" customWidth="1"/>
    <col min="10" max="12" width="8.33203125" customWidth="1"/>
    <col min="14" max="14" width="10.5" bestFit="1" customWidth="1"/>
    <col min="15" max="15" width="8.1640625" bestFit="1" customWidth="1"/>
    <col min="16" max="16" width="5.5" customWidth="1"/>
    <col min="17" max="17" width="5.83203125" customWidth="1"/>
    <col min="18" max="18" width="6.33203125" customWidth="1"/>
    <col min="19" max="19" width="33.1640625" bestFit="1" customWidth="1"/>
    <col min="20" max="20" width="9" bestFit="1" customWidth="1"/>
    <col min="21" max="21" width="4.83203125" bestFit="1" customWidth="1"/>
    <col min="22" max="22" width="8.33203125" bestFit="1" customWidth="1"/>
  </cols>
  <sheetData>
    <row r="1" spans="1:13" s="94" customFormat="1">
      <c r="A1" s="94" t="s">
        <v>191</v>
      </c>
    </row>
    <row r="2" spans="1:13" s="94" customFormat="1">
      <c r="A2" s="94" t="s">
        <v>190</v>
      </c>
      <c r="B2" s="95">
        <v>42379</v>
      </c>
    </row>
    <row r="3" spans="1:13" s="94" customFormat="1">
      <c r="A3" s="94" t="s">
        <v>192</v>
      </c>
      <c r="B3" s="95" t="s">
        <v>193</v>
      </c>
    </row>
    <row r="4" spans="1:13" s="94" customFormat="1">
      <c r="A4" s="94" t="s">
        <v>194</v>
      </c>
      <c r="B4" s="95" t="s">
        <v>195</v>
      </c>
    </row>
    <row r="6" spans="1:13" ht="42">
      <c r="C6" s="36" t="s">
        <v>3</v>
      </c>
      <c r="D6" s="36" t="s">
        <v>4</v>
      </c>
      <c r="E6" s="37" t="s">
        <v>5</v>
      </c>
      <c r="F6" s="36" t="s">
        <v>6</v>
      </c>
      <c r="G6" s="37" t="s">
        <v>7</v>
      </c>
      <c r="H6" s="36" t="s">
        <v>142</v>
      </c>
      <c r="I6" s="37" t="s">
        <v>8</v>
      </c>
      <c r="J6" s="74" t="s">
        <v>169</v>
      </c>
      <c r="K6" s="75"/>
      <c r="L6" s="83" t="s">
        <v>163</v>
      </c>
      <c r="M6" s="26" t="s">
        <v>142</v>
      </c>
    </row>
    <row r="7" spans="1:13">
      <c r="A7" s="11" t="s">
        <v>154</v>
      </c>
      <c r="B7" s="15"/>
      <c r="C7" s="11" t="s">
        <v>143</v>
      </c>
      <c r="D7" s="11"/>
      <c r="E7" s="13"/>
      <c r="F7" s="11"/>
      <c r="G7" s="13"/>
      <c r="H7" s="11"/>
      <c r="I7" s="11"/>
      <c r="J7" s="11" t="s">
        <v>161</v>
      </c>
      <c r="K7" s="11" t="s">
        <v>162</v>
      </c>
      <c r="L7" s="11"/>
      <c r="M7" s="11"/>
    </row>
    <row r="8" spans="1:13">
      <c r="A8" s="12">
        <v>1</v>
      </c>
      <c r="B8" s="16">
        <v>0.375</v>
      </c>
      <c r="C8" s="22" t="s">
        <v>74</v>
      </c>
      <c r="D8" s="22" t="s">
        <v>75</v>
      </c>
      <c r="E8" s="23">
        <v>7000385</v>
      </c>
      <c r="F8" s="22" t="s">
        <v>76</v>
      </c>
      <c r="G8" s="23">
        <v>22000608</v>
      </c>
      <c r="H8" s="22" t="s">
        <v>11</v>
      </c>
      <c r="I8" s="23">
        <v>2278</v>
      </c>
      <c r="J8" s="55">
        <v>185.5</v>
      </c>
      <c r="K8" s="59">
        <f>(185.5/260)*100</f>
        <v>71.346153846153854</v>
      </c>
      <c r="L8" s="84">
        <v>1</v>
      </c>
      <c r="M8" s="22" t="s">
        <v>174</v>
      </c>
    </row>
    <row r="9" spans="1:13">
      <c r="A9" s="12">
        <v>2</v>
      </c>
      <c r="B9" s="16">
        <v>0.38055555555555554</v>
      </c>
      <c r="C9" s="27" t="s">
        <v>108</v>
      </c>
      <c r="D9" s="27" t="s">
        <v>93</v>
      </c>
      <c r="E9" s="28" t="s">
        <v>94</v>
      </c>
      <c r="F9" s="27" t="s">
        <v>109</v>
      </c>
      <c r="G9" s="28" t="s">
        <v>110</v>
      </c>
      <c r="H9" s="27" t="s">
        <v>0</v>
      </c>
      <c r="I9" s="31" t="s">
        <v>135</v>
      </c>
      <c r="J9" s="55">
        <v>184.5</v>
      </c>
      <c r="K9" s="59">
        <f>(184.5/260)*100</f>
        <v>70.961538461538467</v>
      </c>
      <c r="L9" s="85">
        <v>2</v>
      </c>
      <c r="M9" s="22"/>
    </row>
    <row r="10" spans="1:13">
      <c r="A10" s="12">
        <v>3</v>
      </c>
      <c r="B10" s="16">
        <v>0.38611111111111102</v>
      </c>
      <c r="C10" s="27" t="s">
        <v>92</v>
      </c>
      <c r="D10" s="27" t="s">
        <v>93</v>
      </c>
      <c r="E10" s="28" t="s">
        <v>94</v>
      </c>
      <c r="F10" s="27" t="s">
        <v>95</v>
      </c>
      <c r="G10" s="28" t="s">
        <v>96</v>
      </c>
      <c r="H10" s="27" t="s">
        <v>11</v>
      </c>
      <c r="I10" s="29">
        <v>934</v>
      </c>
      <c r="J10" s="56">
        <v>182</v>
      </c>
      <c r="K10" s="59">
        <f>(182/260)*100</f>
        <v>70</v>
      </c>
      <c r="L10" s="86">
        <v>3</v>
      </c>
      <c r="M10" s="22" t="s">
        <v>175</v>
      </c>
    </row>
    <row r="11" spans="1:13">
      <c r="A11" s="12">
        <v>4</v>
      </c>
      <c r="B11" s="16">
        <v>0.391666666666667</v>
      </c>
      <c r="C11" s="27" t="s">
        <v>54</v>
      </c>
      <c r="D11" s="27" t="s">
        <v>55</v>
      </c>
      <c r="E11" s="28" t="s">
        <v>56</v>
      </c>
      <c r="F11" s="27" t="s">
        <v>59</v>
      </c>
      <c r="G11" s="32" t="s">
        <v>60</v>
      </c>
      <c r="H11" s="27" t="s">
        <v>0</v>
      </c>
      <c r="I11" s="32" t="s">
        <v>60</v>
      </c>
      <c r="J11" s="58">
        <v>179.5</v>
      </c>
      <c r="K11" s="62">
        <f>(179.5/260)*100</f>
        <v>69.038461538461533</v>
      </c>
      <c r="L11" s="87">
        <v>4</v>
      </c>
      <c r="M11" s="22"/>
    </row>
    <row r="12" spans="1:13">
      <c r="A12" s="12">
        <v>5</v>
      </c>
      <c r="B12" s="16">
        <v>0.39722222222222198</v>
      </c>
      <c r="C12" s="27" t="s">
        <v>9</v>
      </c>
      <c r="D12" s="27" t="s">
        <v>10</v>
      </c>
      <c r="E12" s="28" t="s">
        <v>12</v>
      </c>
      <c r="F12" s="27" t="s">
        <v>13</v>
      </c>
      <c r="G12" s="28" t="s">
        <v>14</v>
      </c>
      <c r="H12" s="27" t="s">
        <v>11</v>
      </c>
      <c r="I12" s="31" t="s">
        <v>15</v>
      </c>
      <c r="J12" s="55">
        <v>178.5</v>
      </c>
      <c r="K12" s="59">
        <f>(178.5/260)*100</f>
        <v>68.65384615384616</v>
      </c>
      <c r="L12" s="85">
        <v>5</v>
      </c>
      <c r="M12" s="22" t="s">
        <v>176</v>
      </c>
    </row>
    <row r="13" spans="1:13">
      <c r="A13" s="12">
        <v>6</v>
      </c>
      <c r="B13" s="16">
        <v>0.40277777777777801</v>
      </c>
      <c r="C13" s="27" t="s">
        <v>130</v>
      </c>
      <c r="D13" s="27" t="s">
        <v>131</v>
      </c>
      <c r="E13" s="28" t="s">
        <v>132</v>
      </c>
      <c r="F13" s="27" t="s">
        <v>133</v>
      </c>
      <c r="G13" s="30">
        <v>60005172</v>
      </c>
      <c r="H13" s="27" t="s">
        <v>0</v>
      </c>
      <c r="I13" s="30">
        <v>727</v>
      </c>
      <c r="J13" s="57">
        <v>178</v>
      </c>
      <c r="K13" s="61">
        <f>(178/260)*100</f>
        <v>68.461538461538467</v>
      </c>
      <c r="L13" s="88">
        <v>6</v>
      </c>
      <c r="M13" s="22"/>
    </row>
    <row r="14" spans="1:13">
      <c r="A14" s="12">
        <v>7</v>
      </c>
      <c r="B14" s="16">
        <v>0.40833333333333299</v>
      </c>
      <c r="C14" s="27" t="s">
        <v>77</v>
      </c>
      <c r="D14" s="27" t="s">
        <v>78</v>
      </c>
      <c r="E14" s="28" t="s">
        <v>79</v>
      </c>
      <c r="F14" s="27" t="s">
        <v>80</v>
      </c>
      <c r="G14" s="28" t="s">
        <v>81</v>
      </c>
      <c r="H14" s="27" t="s">
        <v>0</v>
      </c>
      <c r="I14" s="29">
        <v>3070</v>
      </c>
      <c r="J14" s="56">
        <v>177</v>
      </c>
      <c r="K14" s="59">
        <f>(177/260)*100</f>
        <v>68.07692307692308</v>
      </c>
      <c r="L14" s="86"/>
      <c r="M14" s="22"/>
    </row>
    <row r="15" spans="1:13">
      <c r="A15" s="12">
        <v>8</v>
      </c>
      <c r="B15" s="16">
        <v>0.41388888888888897</v>
      </c>
      <c r="C15" s="27" t="s">
        <v>102</v>
      </c>
      <c r="D15" s="27" t="s">
        <v>103</v>
      </c>
      <c r="E15" s="28" t="s">
        <v>104</v>
      </c>
      <c r="F15" s="27" t="s">
        <v>105</v>
      </c>
      <c r="G15" s="28" t="s">
        <v>106</v>
      </c>
      <c r="H15" s="27" t="s">
        <v>11</v>
      </c>
      <c r="I15" s="31" t="s">
        <v>107</v>
      </c>
      <c r="J15" s="55">
        <v>175.5</v>
      </c>
      <c r="K15" s="59">
        <f>(175.5/260)*100</f>
        <v>67.5</v>
      </c>
      <c r="L15" s="85"/>
      <c r="M15" s="22"/>
    </row>
    <row r="16" spans="1:13">
      <c r="A16" s="12">
        <v>9</v>
      </c>
      <c r="B16" s="16">
        <v>0.43055555555555503</v>
      </c>
      <c r="C16" s="27" t="s">
        <v>26</v>
      </c>
      <c r="D16" s="27" t="s">
        <v>27</v>
      </c>
      <c r="E16" s="28" t="s">
        <v>28</v>
      </c>
      <c r="F16" s="27" t="s">
        <v>29</v>
      </c>
      <c r="G16" s="28" t="s">
        <v>30</v>
      </c>
      <c r="H16" s="27" t="s">
        <v>11</v>
      </c>
      <c r="I16" s="29">
        <v>4016</v>
      </c>
      <c r="J16" s="56">
        <v>173</v>
      </c>
      <c r="K16" s="60">
        <f>(173/260)*100</f>
        <v>66.538461538461533</v>
      </c>
      <c r="L16" s="86"/>
      <c r="M16" s="22"/>
    </row>
    <row r="17" spans="1:17">
      <c r="A17" s="12">
        <v>10</v>
      </c>
      <c r="B17" s="16">
        <v>0.43611111111111101</v>
      </c>
      <c r="C17" s="27" t="s">
        <v>16</v>
      </c>
      <c r="D17" s="27" t="s">
        <v>17</v>
      </c>
      <c r="E17" s="28" t="s">
        <v>18</v>
      </c>
      <c r="F17" s="27" t="s">
        <v>19</v>
      </c>
      <c r="G17" s="28" t="s">
        <v>20</v>
      </c>
      <c r="H17" s="27" t="s">
        <v>11</v>
      </c>
      <c r="I17" s="29">
        <v>2709</v>
      </c>
      <c r="J17" s="56">
        <v>172</v>
      </c>
      <c r="K17" s="59">
        <f>(172/260)*100</f>
        <v>66.153846153846146</v>
      </c>
      <c r="L17" s="86"/>
      <c r="M17" s="22"/>
    </row>
    <row r="18" spans="1:17">
      <c r="A18" s="12">
        <v>11</v>
      </c>
      <c r="B18" s="16">
        <v>0.44166666666666599</v>
      </c>
      <c r="C18" s="27" t="s">
        <v>171</v>
      </c>
      <c r="D18" s="27" t="s">
        <v>172</v>
      </c>
      <c r="E18" s="28" t="s">
        <v>91</v>
      </c>
      <c r="F18" s="27" t="s">
        <v>173</v>
      </c>
      <c r="G18" s="28">
        <v>60004785</v>
      </c>
      <c r="H18" s="27" t="s">
        <v>11</v>
      </c>
      <c r="I18" s="29">
        <v>1084</v>
      </c>
      <c r="J18" s="56">
        <v>169</v>
      </c>
      <c r="K18" s="59">
        <f>(169/260)*100</f>
        <v>65</v>
      </c>
      <c r="L18" s="89"/>
      <c r="M18" s="22"/>
    </row>
    <row r="19" spans="1:17">
      <c r="A19" s="12">
        <v>12</v>
      </c>
      <c r="B19" s="16">
        <v>0.44722222222222202</v>
      </c>
      <c r="C19" s="27" t="s">
        <v>66</v>
      </c>
      <c r="D19" s="27" t="s">
        <v>67</v>
      </c>
      <c r="E19" s="28" t="s">
        <v>68</v>
      </c>
      <c r="F19" s="27" t="s">
        <v>156</v>
      </c>
      <c r="G19" s="28">
        <v>30047451</v>
      </c>
      <c r="H19" s="27" t="s">
        <v>11</v>
      </c>
      <c r="I19" s="31" t="s">
        <v>157</v>
      </c>
      <c r="J19" s="55">
        <v>167</v>
      </c>
      <c r="K19" s="59">
        <f>(167/260)*100</f>
        <v>64.230769230769241</v>
      </c>
      <c r="L19" s="85"/>
      <c r="M19" s="22"/>
    </row>
    <row r="20" spans="1:17">
      <c r="A20" s="12">
        <v>13</v>
      </c>
      <c r="B20" s="16">
        <v>0.452777777777778</v>
      </c>
      <c r="C20" s="27" t="s">
        <v>69</v>
      </c>
      <c r="D20" s="27" t="s">
        <v>70</v>
      </c>
      <c r="E20" s="28" t="s">
        <v>71</v>
      </c>
      <c r="F20" s="27" t="s">
        <v>72</v>
      </c>
      <c r="G20" s="28" t="s">
        <v>73</v>
      </c>
      <c r="H20" s="27" t="s">
        <v>11</v>
      </c>
      <c r="I20" s="29">
        <v>1077</v>
      </c>
      <c r="J20" s="56">
        <v>164</v>
      </c>
      <c r="K20" s="59">
        <f>(164/260)*100</f>
        <v>63.076923076923073</v>
      </c>
      <c r="L20" s="86"/>
      <c r="M20" s="22"/>
    </row>
    <row r="21" spans="1:17">
      <c r="A21" s="12">
        <v>14</v>
      </c>
      <c r="B21" s="16">
        <v>0.45833333333333498</v>
      </c>
      <c r="C21" s="27" t="s">
        <v>61</v>
      </c>
      <c r="D21" s="27" t="s">
        <v>62</v>
      </c>
      <c r="E21" s="28" t="s">
        <v>63</v>
      </c>
      <c r="F21" s="27" t="s">
        <v>64</v>
      </c>
      <c r="G21" s="28" t="s">
        <v>65</v>
      </c>
      <c r="H21" s="27" t="s">
        <v>11</v>
      </c>
      <c r="I21" s="29">
        <v>4143</v>
      </c>
      <c r="J21" s="56"/>
      <c r="K21" s="59"/>
      <c r="L21" s="86" t="s">
        <v>181</v>
      </c>
      <c r="M21" s="22"/>
    </row>
    <row r="22" spans="1:17">
      <c r="A22" s="12">
        <v>15</v>
      </c>
      <c r="B22" s="16">
        <v>0.46388888888889102</v>
      </c>
      <c r="C22" s="27" t="s">
        <v>41</v>
      </c>
      <c r="D22" s="27" t="s">
        <v>42</v>
      </c>
      <c r="E22" s="28" t="s">
        <v>43</v>
      </c>
      <c r="F22" s="27" t="s">
        <v>44</v>
      </c>
      <c r="G22" s="28" t="s">
        <v>45</v>
      </c>
      <c r="H22" s="27" t="s">
        <v>0</v>
      </c>
      <c r="I22" s="29">
        <v>1680</v>
      </c>
      <c r="J22" s="56" t="s">
        <v>178</v>
      </c>
      <c r="K22" s="59"/>
      <c r="L22" s="86" t="s">
        <v>180</v>
      </c>
      <c r="M22" s="22"/>
    </row>
    <row r="23" spans="1:17">
      <c r="A23" s="12">
        <v>16</v>
      </c>
      <c r="B23" s="16">
        <v>0.469444444444446</v>
      </c>
      <c r="C23" s="27" t="s">
        <v>153</v>
      </c>
      <c r="D23" s="27" t="s">
        <v>152</v>
      </c>
      <c r="E23" s="28" t="s">
        <v>46</v>
      </c>
      <c r="F23" s="27" t="s">
        <v>47</v>
      </c>
      <c r="G23" s="28" t="s">
        <v>48</v>
      </c>
      <c r="H23" s="27" t="s">
        <v>11</v>
      </c>
      <c r="I23" s="29">
        <v>4116</v>
      </c>
      <c r="J23" s="56" t="s">
        <v>179</v>
      </c>
      <c r="K23" s="59"/>
      <c r="L23" s="86" t="s">
        <v>181</v>
      </c>
      <c r="M23" s="22"/>
    </row>
    <row r="24" spans="1:17">
      <c r="A24" s="3"/>
      <c r="B24" s="17"/>
      <c r="C24" s="3"/>
      <c r="D24" s="3"/>
      <c r="E24" s="5"/>
      <c r="F24" s="3"/>
      <c r="G24" s="4"/>
      <c r="H24" s="2"/>
      <c r="I24" s="3"/>
      <c r="J24" s="3"/>
      <c r="K24" s="3"/>
      <c r="L24" s="3"/>
      <c r="M24" s="3"/>
    </row>
    <row r="27" spans="1:17" ht="42">
      <c r="C27" s="36" t="s">
        <v>3</v>
      </c>
      <c r="D27" s="36" t="s">
        <v>4</v>
      </c>
      <c r="E27" s="37" t="s">
        <v>5</v>
      </c>
      <c r="F27" s="36" t="s">
        <v>6</v>
      </c>
      <c r="G27" s="37" t="s">
        <v>7</v>
      </c>
      <c r="H27" s="36" t="s">
        <v>142</v>
      </c>
      <c r="I27" s="37" t="s">
        <v>8</v>
      </c>
      <c r="J27" s="76" t="s">
        <v>164</v>
      </c>
      <c r="K27" s="76"/>
      <c r="L27" s="77" t="s">
        <v>165</v>
      </c>
      <c r="M27" s="77"/>
      <c r="N27" s="73" t="s">
        <v>166</v>
      </c>
      <c r="O27" s="73"/>
      <c r="P27" s="90" t="s">
        <v>168</v>
      </c>
      <c r="Q27" s="26" t="s">
        <v>142</v>
      </c>
    </row>
    <row r="28" spans="1:17">
      <c r="A28" s="11" t="s">
        <v>155</v>
      </c>
      <c r="B28" s="15"/>
      <c r="C28" s="11" t="s">
        <v>144</v>
      </c>
      <c r="D28" s="11"/>
      <c r="E28" s="13"/>
      <c r="F28" s="11"/>
      <c r="G28" s="13"/>
      <c r="H28" s="11"/>
      <c r="I28" s="11"/>
      <c r="J28" s="11" t="s">
        <v>161</v>
      </c>
      <c r="K28" s="11" t="s">
        <v>162</v>
      </c>
      <c r="L28" s="11" t="s">
        <v>177</v>
      </c>
      <c r="M28" s="11" t="s">
        <v>162</v>
      </c>
      <c r="N28" s="21" t="s">
        <v>167</v>
      </c>
      <c r="O28" s="21" t="s">
        <v>162</v>
      </c>
      <c r="P28" s="21"/>
      <c r="Q28" s="21"/>
    </row>
    <row r="29" spans="1:17">
      <c r="A29" s="12">
        <v>1</v>
      </c>
      <c r="B29" s="16">
        <v>0.39583333333333331</v>
      </c>
      <c r="C29" s="22" t="s">
        <v>74</v>
      </c>
      <c r="D29" s="22" t="s">
        <v>75</v>
      </c>
      <c r="E29" s="23">
        <v>7000385</v>
      </c>
      <c r="F29" s="22" t="s">
        <v>76</v>
      </c>
      <c r="G29" s="23">
        <v>22000608</v>
      </c>
      <c r="H29" s="22" t="s">
        <v>11</v>
      </c>
      <c r="I29" s="23">
        <v>2278</v>
      </c>
      <c r="J29" s="24">
        <v>163</v>
      </c>
      <c r="K29" s="63">
        <f>(163/230)*100</f>
        <v>70.869565217391312</v>
      </c>
      <c r="L29" s="25">
        <v>168.5</v>
      </c>
      <c r="M29" s="65">
        <f>(168.5/230)*100</f>
        <v>73.260869565217391</v>
      </c>
      <c r="N29" s="26">
        <f t="shared" ref="N29:N45" si="0">J29+L29</f>
        <v>331.5</v>
      </c>
      <c r="O29" s="64">
        <f t="shared" ref="O29:O45" si="1">(K29+M29)/2</f>
        <v>72.065217391304344</v>
      </c>
      <c r="P29" s="91">
        <v>1</v>
      </c>
      <c r="Q29" s="26">
        <v>1</v>
      </c>
    </row>
    <row r="30" spans="1:17">
      <c r="A30" s="12">
        <v>2</v>
      </c>
      <c r="B30" s="16">
        <v>0.40138888888888885</v>
      </c>
      <c r="C30" s="27" t="s">
        <v>130</v>
      </c>
      <c r="D30" s="27" t="s">
        <v>131</v>
      </c>
      <c r="E30" s="28" t="s">
        <v>132</v>
      </c>
      <c r="F30" s="27" t="s">
        <v>133</v>
      </c>
      <c r="G30" s="30">
        <v>60005172</v>
      </c>
      <c r="H30" s="27" t="s">
        <v>0</v>
      </c>
      <c r="I30" s="30">
        <v>727</v>
      </c>
      <c r="J30" s="24">
        <v>159</v>
      </c>
      <c r="K30" s="63">
        <f>(159/230)*100</f>
        <v>69.130434782608702</v>
      </c>
      <c r="L30" s="25">
        <v>160</v>
      </c>
      <c r="M30" s="65">
        <f>(160/230)*100</f>
        <v>69.565217391304344</v>
      </c>
      <c r="N30" s="26">
        <f t="shared" si="0"/>
        <v>319</v>
      </c>
      <c r="O30" s="64">
        <f t="shared" si="1"/>
        <v>69.34782608695653</v>
      </c>
      <c r="P30" s="91">
        <v>2</v>
      </c>
      <c r="Q30" s="26"/>
    </row>
    <row r="31" spans="1:17">
      <c r="A31" s="12">
        <v>3</v>
      </c>
      <c r="B31" s="16">
        <v>0.406944444444444</v>
      </c>
      <c r="C31" s="27" t="s">
        <v>108</v>
      </c>
      <c r="D31" s="27" t="s">
        <v>93</v>
      </c>
      <c r="E31" s="28" t="s">
        <v>94</v>
      </c>
      <c r="F31" s="27" t="s">
        <v>109</v>
      </c>
      <c r="G31" s="28" t="s">
        <v>110</v>
      </c>
      <c r="H31" s="27" t="s">
        <v>0</v>
      </c>
      <c r="I31" s="31" t="s">
        <v>135</v>
      </c>
      <c r="J31" s="24">
        <v>155</v>
      </c>
      <c r="K31" s="63">
        <f>(155/230)*100</f>
        <v>67.391304347826093</v>
      </c>
      <c r="L31" s="25">
        <v>158</v>
      </c>
      <c r="M31" s="65">
        <f>(158/230)*100</f>
        <v>68.695652173913047</v>
      </c>
      <c r="N31" s="26">
        <f t="shared" si="0"/>
        <v>313</v>
      </c>
      <c r="O31" s="64">
        <f t="shared" si="1"/>
        <v>68.043478260869563</v>
      </c>
      <c r="P31" s="91">
        <v>3</v>
      </c>
      <c r="Q31" s="26"/>
    </row>
    <row r="32" spans="1:17">
      <c r="A32" s="12">
        <v>4</v>
      </c>
      <c r="B32" s="16">
        <v>0.41249999999999998</v>
      </c>
      <c r="C32" s="27" t="s">
        <v>54</v>
      </c>
      <c r="D32" s="27" t="s">
        <v>55</v>
      </c>
      <c r="E32" s="28" t="s">
        <v>56</v>
      </c>
      <c r="F32" s="27" t="s">
        <v>59</v>
      </c>
      <c r="G32" s="32" t="s">
        <v>60</v>
      </c>
      <c r="H32" s="27" t="s">
        <v>0</v>
      </c>
      <c r="I32" s="32" t="s">
        <v>60</v>
      </c>
      <c r="J32" s="24">
        <v>153</v>
      </c>
      <c r="K32" s="63">
        <f>(153/230)*100</f>
        <v>66.521739130434781</v>
      </c>
      <c r="L32" s="25">
        <v>159</v>
      </c>
      <c r="M32" s="65">
        <f>(159/230)*100</f>
        <v>69.130434782608702</v>
      </c>
      <c r="N32" s="26">
        <f t="shared" si="0"/>
        <v>312</v>
      </c>
      <c r="O32" s="64">
        <f t="shared" si="1"/>
        <v>67.826086956521749</v>
      </c>
      <c r="P32" s="91">
        <v>4</v>
      </c>
      <c r="Q32" s="26"/>
    </row>
    <row r="33" spans="1:17">
      <c r="A33" s="12">
        <v>5</v>
      </c>
      <c r="B33" s="16">
        <v>0.41805555555555501</v>
      </c>
      <c r="C33" s="27" t="s">
        <v>92</v>
      </c>
      <c r="D33" s="27" t="s">
        <v>93</v>
      </c>
      <c r="E33" s="28" t="s">
        <v>94</v>
      </c>
      <c r="F33" s="27" t="s">
        <v>95</v>
      </c>
      <c r="G33" s="28" t="s">
        <v>96</v>
      </c>
      <c r="H33" s="27" t="s">
        <v>11</v>
      </c>
      <c r="I33" s="29">
        <v>934</v>
      </c>
      <c r="J33" s="24">
        <v>152.5</v>
      </c>
      <c r="K33" s="63">
        <f>(152.5/230)*100</f>
        <v>66.304347826086953</v>
      </c>
      <c r="L33" s="25">
        <v>156.5</v>
      </c>
      <c r="M33" s="65">
        <f>(156.5/230)*100</f>
        <v>68.043478260869563</v>
      </c>
      <c r="N33" s="26">
        <f t="shared" si="0"/>
        <v>309</v>
      </c>
      <c r="O33" s="64">
        <f t="shared" si="1"/>
        <v>67.173913043478251</v>
      </c>
      <c r="P33" s="91">
        <v>5</v>
      </c>
      <c r="Q33" s="26">
        <v>2</v>
      </c>
    </row>
    <row r="34" spans="1:17">
      <c r="A34" s="12">
        <v>7</v>
      </c>
      <c r="B34" s="16">
        <v>0.42916666666666697</v>
      </c>
      <c r="C34" s="27" t="s">
        <v>16</v>
      </c>
      <c r="D34" s="27" t="s">
        <v>17</v>
      </c>
      <c r="E34" s="28" t="s">
        <v>18</v>
      </c>
      <c r="F34" s="27" t="s">
        <v>19</v>
      </c>
      <c r="G34" s="28" t="s">
        <v>20</v>
      </c>
      <c r="H34" s="27" t="s">
        <v>11</v>
      </c>
      <c r="I34" s="29">
        <v>2709</v>
      </c>
      <c r="J34" s="24">
        <v>149.5</v>
      </c>
      <c r="K34" s="63">
        <f>(149.5/230)*100</f>
        <v>65</v>
      </c>
      <c r="L34" s="25">
        <v>155</v>
      </c>
      <c r="M34" s="65">
        <f>(155/230)*100</f>
        <v>67.391304347826093</v>
      </c>
      <c r="N34" s="26">
        <f t="shared" si="0"/>
        <v>304.5</v>
      </c>
      <c r="O34" s="64">
        <f t="shared" si="1"/>
        <v>66.195652173913047</v>
      </c>
      <c r="P34" s="91">
        <v>6</v>
      </c>
      <c r="Q34" s="26">
        <v>3</v>
      </c>
    </row>
    <row r="35" spans="1:17">
      <c r="A35" s="12">
        <v>9</v>
      </c>
      <c r="B35" s="16">
        <v>0.45138888888888901</v>
      </c>
      <c r="C35" s="27" t="s">
        <v>171</v>
      </c>
      <c r="D35" s="27" t="s">
        <v>172</v>
      </c>
      <c r="E35" s="28" t="s">
        <v>91</v>
      </c>
      <c r="F35" s="27" t="s">
        <v>173</v>
      </c>
      <c r="G35" s="28">
        <v>60004785</v>
      </c>
      <c r="H35" s="27" t="s">
        <v>11</v>
      </c>
      <c r="I35" s="29">
        <v>1084</v>
      </c>
      <c r="J35" s="24">
        <v>147</v>
      </c>
      <c r="K35" s="63">
        <f>(147/230)*100</f>
        <v>63.913043478260867</v>
      </c>
      <c r="L35" s="25">
        <v>155.5</v>
      </c>
      <c r="M35" s="65">
        <f>(155.5/230)*100</f>
        <v>67.608695652173907</v>
      </c>
      <c r="N35" s="26">
        <f t="shared" si="0"/>
        <v>302.5</v>
      </c>
      <c r="O35" s="64">
        <f t="shared" si="1"/>
        <v>65.760869565217391</v>
      </c>
      <c r="P35" s="91"/>
      <c r="Q35" s="26"/>
    </row>
    <row r="36" spans="1:17">
      <c r="A36" s="12">
        <v>10</v>
      </c>
      <c r="B36" s="16">
        <v>0.45694444444444399</v>
      </c>
      <c r="C36" s="27" t="s">
        <v>77</v>
      </c>
      <c r="D36" s="27" t="s">
        <v>78</v>
      </c>
      <c r="E36" s="28" t="s">
        <v>79</v>
      </c>
      <c r="F36" s="27" t="s">
        <v>80</v>
      </c>
      <c r="G36" s="28" t="s">
        <v>81</v>
      </c>
      <c r="H36" s="27" t="s">
        <v>0</v>
      </c>
      <c r="I36" s="29">
        <v>3070</v>
      </c>
      <c r="J36" s="24">
        <v>146.5</v>
      </c>
      <c r="K36" s="63">
        <f>(146.5/230)*100</f>
        <v>63.695652173913039</v>
      </c>
      <c r="L36" s="25">
        <v>154.5</v>
      </c>
      <c r="M36" s="65">
        <f>(154.5/230)*100</f>
        <v>67.173913043478265</v>
      </c>
      <c r="N36" s="26">
        <f t="shared" si="0"/>
        <v>301</v>
      </c>
      <c r="O36" s="64">
        <f t="shared" si="1"/>
        <v>65.434782608695656</v>
      </c>
      <c r="P36" s="91"/>
      <c r="Q36" s="26"/>
    </row>
    <row r="37" spans="1:17">
      <c r="A37" s="12">
        <v>8</v>
      </c>
      <c r="B37" s="16">
        <v>0.43472222222222201</v>
      </c>
      <c r="C37" s="27" t="s">
        <v>102</v>
      </c>
      <c r="D37" s="27" t="s">
        <v>103</v>
      </c>
      <c r="E37" s="28" t="s">
        <v>104</v>
      </c>
      <c r="F37" s="27" t="s">
        <v>105</v>
      </c>
      <c r="G37" s="28" t="s">
        <v>106</v>
      </c>
      <c r="H37" s="27" t="s">
        <v>11</v>
      </c>
      <c r="I37" s="31" t="s">
        <v>107</v>
      </c>
      <c r="J37" s="24">
        <v>147</v>
      </c>
      <c r="K37" s="63">
        <f>(147/230)*100</f>
        <v>63.913043478260867</v>
      </c>
      <c r="L37" s="25">
        <v>153.5</v>
      </c>
      <c r="M37" s="65">
        <f>(153.5/230)*100</f>
        <v>66.739130434782609</v>
      </c>
      <c r="N37" s="26">
        <f t="shared" si="0"/>
        <v>300.5</v>
      </c>
      <c r="O37" s="64">
        <f t="shared" si="1"/>
        <v>65.326086956521735</v>
      </c>
      <c r="P37" s="91"/>
      <c r="Q37" s="26"/>
    </row>
    <row r="38" spans="1:17">
      <c r="A38" s="12">
        <v>13</v>
      </c>
      <c r="B38" s="16">
        <v>0.47361111111111098</v>
      </c>
      <c r="C38" s="27" t="s">
        <v>66</v>
      </c>
      <c r="D38" s="27" t="s">
        <v>67</v>
      </c>
      <c r="E38" s="28" t="s">
        <v>68</v>
      </c>
      <c r="F38" s="27" t="s">
        <v>156</v>
      </c>
      <c r="G38" s="28">
        <v>30047451</v>
      </c>
      <c r="H38" s="27" t="s">
        <v>11</v>
      </c>
      <c r="I38" s="31" t="s">
        <v>157</v>
      </c>
      <c r="J38" s="24">
        <v>142.5</v>
      </c>
      <c r="K38" s="63">
        <f>(142.5/230)*100</f>
        <v>61.95652173913043</v>
      </c>
      <c r="L38" s="25">
        <v>154</v>
      </c>
      <c r="M38" s="65">
        <f>(154/230)*100</f>
        <v>66.956521739130437</v>
      </c>
      <c r="N38" s="26">
        <f t="shared" si="0"/>
        <v>296.5</v>
      </c>
      <c r="O38" s="64">
        <f t="shared" si="1"/>
        <v>64.456521739130437</v>
      </c>
      <c r="P38" s="91"/>
      <c r="Q38" s="26"/>
    </row>
    <row r="39" spans="1:17">
      <c r="A39" s="12">
        <v>12</v>
      </c>
      <c r="B39" s="16">
        <v>0.468055555555555</v>
      </c>
      <c r="C39" s="27" t="s">
        <v>9</v>
      </c>
      <c r="D39" s="27" t="s">
        <v>10</v>
      </c>
      <c r="E39" s="28" t="s">
        <v>12</v>
      </c>
      <c r="F39" s="27" t="s">
        <v>13</v>
      </c>
      <c r="G39" s="28" t="s">
        <v>14</v>
      </c>
      <c r="H39" s="27" t="s">
        <v>11</v>
      </c>
      <c r="I39" s="31" t="s">
        <v>15</v>
      </c>
      <c r="J39" s="24">
        <v>143</v>
      </c>
      <c r="K39" s="63">
        <f>(143/230)*100</f>
        <v>62.173913043478258</v>
      </c>
      <c r="L39" s="25">
        <v>152.5</v>
      </c>
      <c r="M39" s="65">
        <f>(152.5/230)*100</f>
        <v>66.304347826086953</v>
      </c>
      <c r="N39" s="26">
        <f t="shared" si="0"/>
        <v>295.5</v>
      </c>
      <c r="O39" s="64">
        <f t="shared" si="1"/>
        <v>64.239130434782609</v>
      </c>
      <c r="P39" s="91"/>
      <c r="Q39" s="26"/>
    </row>
    <row r="40" spans="1:17">
      <c r="A40" s="12">
        <v>6</v>
      </c>
      <c r="B40" s="16">
        <v>0.42361111111111099</v>
      </c>
      <c r="C40" s="27" t="s">
        <v>26</v>
      </c>
      <c r="D40" s="27" t="s">
        <v>27</v>
      </c>
      <c r="E40" s="28" t="s">
        <v>28</v>
      </c>
      <c r="F40" s="27" t="s">
        <v>29</v>
      </c>
      <c r="G40" s="28" t="s">
        <v>30</v>
      </c>
      <c r="H40" s="27" t="s">
        <v>11</v>
      </c>
      <c r="I40" s="29">
        <v>4016</v>
      </c>
      <c r="J40" s="24">
        <v>149.5</v>
      </c>
      <c r="K40" s="63">
        <f>(149.5/230)*100</f>
        <v>65</v>
      </c>
      <c r="L40" s="25">
        <v>144.5</v>
      </c>
      <c r="M40" s="65">
        <f>(144.5/230)*100</f>
        <v>62.826086956521742</v>
      </c>
      <c r="N40" s="26">
        <f t="shared" si="0"/>
        <v>294</v>
      </c>
      <c r="O40" s="64">
        <f t="shared" si="1"/>
        <v>63.913043478260875</v>
      </c>
      <c r="P40" s="91"/>
      <c r="Q40" s="26"/>
    </row>
    <row r="41" spans="1:17">
      <c r="A41" s="12">
        <v>11</v>
      </c>
      <c r="B41" s="16">
        <v>0.46250000000000002</v>
      </c>
      <c r="C41" s="27" t="s">
        <v>69</v>
      </c>
      <c r="D41" s="27" t="s">
        <v>70</v>
      </c>
      <c r="E41" s="28" t="s">
        <v>71</v>
      </c>
      <c r="F41" s="27" t="s">
        <v>72</v>
      </c>
      <c r="G41" s="28" t="s">
        <v>73</v>
      </c>
      <c r="H41" s="27" t="s">
        <v>11</v>
      </c>
      <c r="I41" s="29">
        <v>1077</v>
      </c>
      <c r="J41" s="24">
        <v>145.5</v>
      </c>
      <c r="K41" s="63">
        <f>(145.5/230)*100</f>
        <v>63.260869565217391</v>
      </c>
      <c r="L41" s="25">
        <v>148</v>
      </c>
      <c r="M41" s="65">
        <f>(148/230)*100</f>
        <v>64.347826086956516</v>
      </c>
      <c r="N41" s="26">
        <f t="shared" si="0"/>
        <v>293.5</v>
      </c>
      <c r="O41" s="64">
        <f t="shared" si="1"/>
        <v>63.804347826086953</v>
      </c>
      <c r="P41" s="91"/>
      <c r="Q41" s="26"/>
    </row>
    <row r="42" spans="1:17">
      <c r="A42" s="12">
        <v>14</v>
      </c>
      <c r="B42" s="16">
        <v>0.47916666666666602</v>
      </c>
      <c r="C42" s="27" t="s">
        <v>61</v>
      </c>
      <c r="D42" s="27" t="s">
        <v>62</v>
      </c>
      <c r="E42" s="28" t="s">
        <v>63</v>
      </c>
      <c r="F42" s="27" t="s">
        <v>64</v>
      </c>
      <c r="G42" s="28" t="s">
        <v>65</v>
      </c>
      <c r="H42" s="27" t="s">
        <v>11</v>
      </c>
      <c r="I42" s="29">
        <v>4143</v>
      </c>
      <c r="J42" s="24"/>
      <c r="K42" s="63"/>
      <c r="L42" s="25"/>
      <c r="M42" s="65"/>
      <c r="N42" s="26">
        <f t="shared" si="0"/>
        <v>0</v>
      </c>
      <c r="O42" s="64">
        <f t="shared" si="1"/>
        <v>0</v>
      </c>
      <c r="P42" s="91" t="s">
        <v>182</v>
      </c>
      <c r="Q42" s="26"/>
    </row>
    <row r="43" spans="1:17">
      <c r="A43" s="12">
        <v>15</v>
      </c>
      <c r="B43" s="16">
        <v>0.484722222222219</v>
      </c>
      <c r="C43" s="27" t="s">
        <v>41</v>
      </c>
      <c r="D43" s="27" t="s">
        <v>42</v>
      </c>
      <c r="E43" s="28" t="s">
        <v>43</v>
      </c>
      <c r="F43" s="27" t="s">
        <v>44</v>
      </c>
      <c r="G43" s="28" t="s">
        <v>45</v>
      </c>
      <c r="H43" s="27" t="s">
        <v>0</v>
      </c>
      <c r="I43" s="29">
        <v>1680</v>
      </c>
      <c r="J43" s="24"/>
      <c r="K43" s="63"/>
      <c r="L43" s="25"/>
      <c r="M43" s="65"/>
      <c r="N43" s="26">
        <f t="shared" si="0"/>
        <v>0</v>
      </c>
      <c r="O43" s="64">
        <f t="shared" si="1"/>
        <v>0</v>
      </c>
      <c r="P43" s="91" t="s">
        <v>182</v>
      </c>
      <c r="Q43" s="26"/>
    </row>
    <row r="44" spans="1:17">
      <c r="A44" s="12">
        <v>16</v>
      </c>
      <c r="B44" s="16">
        <v>0.49027777777777398</v>
      </c>
      <c r="C44" s="27" t="s">
        <v>153</v>
      </c>
      <c r="D44" s="27" t="s">
        <v>152</v>
      </c>
      <c r="E44" s="28" t="s">
        <v>46</v>
      </c>
      <c r="F44" s="27" t="s">
        <v>47</v>
      </c>
      <c r="G44" s="28" t="s">
        <v>48</v>
      </c>
      <c r="H44" s="27" t="s">
        <v>11</v>
      </c>
      <c r="I44" s="29">
        <v>4116</v>
      </c>
      <c r="J44" s="24"/>
      <c r="K44" s="63"/>
      <c r="L44" s="25"/>
      <c r="M44" s="65"/>
      <c r="N44" s="26">
        <f t="shared" si="0"/>
        <v>0</v>
      </c>
      <c r="O44" s="64">
        <f t="shared" si="1"/>
        <v>0</v>
      </c>
      <c r="P44" s="91" t="s">
        <v>182</v>
      </c>
      <c r="Q44" s="26"/>
    </row>
    <row r="45" spans="1:17">
      <c r="A45" s="12">
        <v>17</v>
      </c>
      <c r="B45" s="16">
        <v>0.49583333333333701</v>
      </c>
      <c r="C45" s="27" t="s">
        <v>2</v>
      </c>
      <c r="D45" s="27" t="s">
        <v>116</v>
      </c>
      <c r="E45" s="28" t="s">
        <v>117</v>
      </c>
      <c r="F45" s="27" t="s">
        <v>118</v>
      </c>
      <c r="G45" s="28" t="s">
        <v>119</v>
      </c>
      <c r="H45" s="27" t="s">
        <v>11</v>
      </c>
      <c r="I45" s="29">
        <v>540</v>
      </c>
      <c r="J45" s="24"/>
      <c r="K45" s="63"/>
      <c r="L45" s="25"/>
      <c r="M45" s="65"/>
      <c r="N45" s="26">
        <f t="shared" si="0"/>
        <v>0</v>
      </c>
      <c r="O45" s="64">
        <f t="shared" si="1"/>
        <v>0</v>
      </c>
      <c r="P45" s="91" t="s">
        <v>180</v>
      </c>
      <c r="Q45" s="26"/>
    </row>
  </sheetData>
  <sortState ref="A48:J61">
    <sortCondition descending="1" ref="J48:J61"/>
  </sortState>
  <mergeCells count="4">
    <mergeCell ref="N27:O27"/>
    <mergeCell ref="J6:K6"/>
    <mergeCell ref="J27:K27"/>
    <mergeCell ref="L27:M27"/>
  </mergeCells>
  <phoneticPr fontId="7" type="noConversion"/>
  <pageMargins left="0.7" right="0.7" top="0.75" bottom="0.75" header="0.3" footer="0.3"/>
  <pageSetup paperSize="9" scale="71" orientation="landscape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125" zoomScaleNormal="125" zoomScalePageLayoutView="125" workbookViewId="0">
      <selection sqref="A1:XFD4"/>
    </sheetView>
  </sheetViews>
  <sheetFormatPr baseColWidth="10" defaultColWidth="8.83203125" defaultRowHeight="14" x14ac:dyDescent="0"/>
  <cols>
    <col min="6" max="6" width="20.5" bestFit="1" customWidth="1"/>
    <col min="17" max="17" width="8.83203125" style="1"/>
  </cols>
  <sheetData>
    <row r="1" spans="1:17" s="94" customFormat="1">
      <c r="A1" s="94" t="s">
        <v>191</v>
      </c>
    </row>
    <row r="2" spans="1:17" s="94" customFormat="1">
      <c r="A2" s="94" t="s">
        <v>190</v>
      </c>
      <c r="B2" s="95">
        <v>42379</v>
      </c>
    </row>
    <row r="3" spans="1:17" s="94" customFormat="1">
      <c r="A3" s="94" t="s">
        <v>192</v>
      </c>
      <c r="B3" s="95" t="s">
        <v>193</v>
      </c>
    </row>
    <row r="4" spans="1:17" s="94" customFormat="1">
      <c r="A4" s="94" t="s">
        <v>194</v>
      </c>
      <c r="B4" s="95" t="s">
        <v>195</v>
      </c>
    </row>
    <row r="7" spans="1:17" ht="42">
      <c r="C7" s="36" t="s">
        <v>3</v>
      </c>
      <c r="D7" s="36" t="s">
        <v>4</v>
      </c>
      <c r="E7" s="37" t="s">
        <v>5</v>
      </c>
      <c r="F7" s="36" t="s">
        <v>6</v>
      </c>
      <c r="G7" s="37" t="s">
        <v>7</v>
      </c>
      <c r="H7" s="36" t="s">
        <v>142</v>
      </c>
      <c r="I7" s="37" t="s">
        <v>8</v>
      </c>
      <c r="J7" s="76" t="s">
        <v>164</v>
      </c>
      <c r="K7" s="76"/>
      <c r="L7" s="78" t="s">
        <v>184</v>
      </c>
      <c r="M7" s="77"/>
      <c r="N7" s="73" t="s">
        <v>166</v>
      </c>
      <c r="O7" s="73"/>
      <c r="P7" s="38" t="s">
        <v>168</v>
      </c>
      <c r="Q7" s="71" t="s">
        <v>142</v>
      </c>
    </row>
    <row r="8" spans="1:17">
      <c r="A8" s="14" t="s">
        <v>150</v>
      </c>
      <c r="B8" s="18"/>
      <c r="C8" s="39" t="s">
        <v>151</v>
      </c>
      <c r="D8" s="39"/>
      <c r="E8" s="40"/>
      <c r="F8" s="39"/>
      <c r="G8" s="40"/>
      <c r="H8" s="39"/>
      <c r="I8" s="41"/>
      <c r="J8" s="39"/>
      <c r="K8" s="41" t="s">
        <v>162</v>
      </c>
      <c r="L8" s="39"/>
      <c r="M8" s="41" t="s">
        <v>162</v>
      </c>
      <c r="N8" s="39"/>
      <c r="O8" s="41" t="s">
        <v>162</v>
      </c>
      <c r="P8" s="39"/>
      <c r="Q8" s="71"/>
    </row>
    <row r="9" spans="1:17">
      <c r="A9" s="7">
        <v>1</v>
      </c>
      <c r="B9" s="18">
        <v>0.53611111111113297</v>
      </c>
      <c r="C9" s="27" t="s">
        <v>2</v>
      </c>
      <c r="D9" s="27" t="s">
        <v>126</v>
      </c>
      <c r="E9" s="28" t="s">
        <v>127</v>
      </c>
      <c r="F9" s="27" t="s">
        <v>128</v>
      </c>
      <c r="G9" s="28" t="s">
        <v>129</v>
      </c>
      <c r="H9" s="27" t="s">
        <v>11</v>
      </c>
      <c r="I9" s="28">
        <v>1172</v>
      </c>
      <c r="J9" s="24">
        <v>242</v>
      </c>
      <c r="K9" s="63">
        <f>(242/350)*100</f>
        <v>69.142857142857139</v>
      </c>
      <c r="L9" s="42">
        <v>230.5</v>
      </c>
      <c r="M9" s="68">
        <f>(230.5/350)*100</f>
        <v>65.857142857142861</v>
      </c>
      <c r="N9" s="26">
        <f t="shared" ref="N9:N18" si="0">J9+L9</f>
        <v>472.5</v>
      </c>
      <c r="O9" s="64">
        <f t="shared" ref="O9:O18" si="1">(K9+M9)/2</f>
        <v>67.5</v>
      </c>
      <c r="P9" s="26">
        <v>1</v>
      </c>
      <c r="Q9" s="71">
        <v>1</v>
      </c>
    </row>
    <row r="10" spans="1:17">
      <c r="A10" s="7">
        <v>2</v>
      </c>
      <c r="B10" s="18">
        <v>0.54166666666669006</v>
      </c>
      <c r="C10" s="22" t="s">
        <v>136</v>
      </c>
      <c r="D10" s="22" t="s">
        <v>137</v>
      </c>
      <c r="E10" s="23" t="s">
        <v>138</v>
      </c>
      <c r="F10" s="22" t="s">
        <v>139</v>
      </c>
      <c r="G10" s="23" t="s">
        <v>140</v>
      </c>
      <c r="H10" s="22" t="s">
        <v>11</v>
      </c>
      <c r="I10" s="31" t="s">
        <v>141</v>
      </c>
      <c r="J10" s="24">
        <v>234</v>
      </c>
      <c r="K10" s="63">
        <f>(234/350)*100</f>
        <v>66.857142857142861</v>
      </c>
      <c r="L10" s="42">
        <v>228</v>
      </c>
      <c r="M10" s="68">
        <f>(228/350)*100</f>
        <v>65.142857142857153</v>
      </c>
      <c r="N10" s="26">
        <f t="shared" si="0"/>
        <v>462</v>
      </c>
      <c r="O10" s="64">
        <f t="shared" si="1"/>
        <v>66</v>
      </c>
      <c r="P10" s="26">
        <v>2</v>
      </c>
      <c r="Q10" s="71">
        <v>2</v>
      </c>
    </row>
    <row r="11" spans="1:17">
      <c r="A11" s="7">
        <v>3</v>
      </c>
      <c r="B11" s="18">
        <v>0.54722222222224703</v>
      </c>
      <c r="C11" s="27" t="s">
        <v>111</v>
      </c>
      <c r="D11" s="27" t="s">
        <v>112</v>
      </c>
      <c r="E11" s="28" t="s">
        <v>113</v>
      </c>
      <c r="F11" s="27" t="s">
        <v>114</v>
      </c>
      <c r="G11" s="28" t="s">
        <v>115</v>
      </c>
      <c r="H11" s="27" t="s">
        <v>0</v>
      </c>
      <c r="I11" s="29">
        <v>4219</v>
      </c>
      <c r="J11" s="24">
        <v>237</v>
      </c>
      <c r="K11" s="63">
        <f>(237/350)*100</f>
        <v>67.714285714285722</v>
      </c>
      <c r="L11" s="42">
        <v>224</v>
      </c>
      <c r="M11" s="68">
        <f>(224/350)*100</f>
        <v>64</v>
      </c>
      <c r="N11" s="26">
        <f t="shared" si="0"/>
        <v>461</v>
      </c>
      <c r="O11" s="64">
        <f t="shared" si="1"/>
        <v>65.857142857142861</v>
      </c>
      <c r="P11" s="26">
        <v>3</v>
      </c>
      <c r="Q11" s="71"/>
    </row>
    <row r="12" spans="1:17">
      <c r="A12" s="7">
        <v>4</v>
      </c>
      <c r="B12" s="18">
        <v>0.55277777777780401</v>
      </c>
      <c r="C12" s="27" t="s">
        <v>36</v>
      </c>
      <c r="D12" s="27" t="s">
        <v>37</v>
      </c>
      <c r="E12" s="28" t="s">
        <v>38</v>
      </c>
      <c r="F12" s="27" t="s">
        <v>39</v>
      </c>
      <c r="G12" s="28" t="s">
        <v>40</v>
      </c>
      <c r="H12" s="27" t="s">
        <v>11</v>
      </c>
      <c r="I12" s="29">
        <v>2095</v>
      </c>
      <c r="J12" s="24">
        <v>234.5</v>
      </c>
      <c r="K12" s="63">
        <f>(234.5/350)*100</f>
        <v>67</v>
      </c>
      <c r="L12" s="42">
        <v>226</v>
      </c>
      <c r="M12" s="68">
        <f>(226/350)*100</f>
        <v>64.571428571428569</v>
      </c>
      <c r="N12" s="26">
        <f t="shared" si="0"/>
        <v>460.5</v>
      </c>
      <c r="O12" s="64">
        <f t="shared" si="1"/>
        <v>65.785714285714278</v>
      </c>
      <c r="P12" s="26">
        <v>4</v>
      </c>
      <c r="Q12" s="92">
        <v>3</v>
      </c>
    </row>
    <row r="13" spans="1:17">
      <c r="A13" s="7">
        <v>5</v>
      </c>
      <c r="B13" s="18">
        <v>0.55833333333336099</v>
      </c>
      <c r="C13" s="27" t="s">
        <v>1</v>
      </c>
      <c r="D13" s="27" t="s">
        <v>82</v>
      </c>
      <c r="E13" s="28" t="s">
        <v>83</v>
      </c>
      <c r="F13" s="27" t="s">
        <v>84</v>
      </c>
      <c r="G13" s="28" t="s">
        <v>85</v>
      </c>
      <c r="H13" s="27" t="s">
        <v>11</v>
      </c>
      <c r="I13" s="29">
        <v>3486</v>
      </c>
      <c r="J13" s="24">
        <v>228</v>
      </c>
      <c r="K13" s="63">
        <f>(228/350)*100</f>
        <v>65.142857142857153</v>
      </c>
      <c r="L13" s="42">
        <v>229</v>
      </c>
      <c r="M13" s="68">
        <f>(229/350)*100</f>
        <v>65.428571428571431</v>
      </c>
      <c r="N13" s="26">
        <f t="shared" si="0"/>
        <v>457</v>
      </c>
      <c r="O13" s="64">
        <f t="shared" si="1"/>
        <v>65.285714285714292</v>
      </c>
      <c r="P13" s="26">
        <v>5</v>
      </c>
      <c r="Q13" s="92"/>
    </row>
    <row r="14" spans="1:17">
      <c r="A14" s="7">
        <v>6</v>
      </c>
      <c r="B14" s="18">
        <v>0.56388888888891797</v>
      </c>
      <c r="C14" s="43" t="s">
        <v>158</v>
      </c>
      <c r="D14" s="43" t="s">
        <v>159</v>
      </c>
      <c r="E14" s="28">
        <v>3013766</v>
      </c>
      <c r="F14" s="27" t="s">
        <v>160</v>
      </c>
      <c r="G14" s="28">
        <v>30501922</v>
      </c>
      <c r="H14" s="27"/>
      <c r="I14" s="29">
        <v>4130</v>
      </c>
      <c r="J14" s="24">
        <v>230.5</v>
      </c>
      <c r="K14" s="63">
        <f>(230.5/350)*100</f>
        <v>65.857142857142861</v>
      </c>
      <c r="L14" s="42">
        <v>222.5</v>
      </c>
      <c r="M14" s="68">
        <f>(222.5/350)*100</f>
        <v>63.571428571428569</v>
      </c>
      <c r="N14" s="26">
        <f t="shared" si="0"/>
        <v>453</v>
      </c>
      <c r="O14" s="64">
        <f t="shared" si="1"/>
        <v>64.714285714285722</v>
      </c>
      <c r="P14" s="26">
        <v>6</v>
      </c>
      <c r="Q14" s="92"/>
    </row>
    <row r="15" spans="1:17">
      <c r="A15" s="7">
        <v>7</v>
      </c>
      <c r="B15" s="18">
        <v>0.56944444444447495</v>
      </c>
      <c r="C15" s="27" t="s">
        <v>54</v>
      </c>
      <c r="D15" s="27" t="s">
        <v>55</v>
      </c>
      <c r="E15" s="28" t="s">
        <v>56</v>
      </c>
      <c r="F15" s="27" t="s">
        <v>57</v>
      </c>
      <c r="G15" s="28" t="s">
        <v>58</v>
      </c>
      <c r="H15" s="27" t="s">
        <v>0</v>
      </c>
      <c r="I15" s="29">
        <v>3225</v>
      </c>
      <c r="J15" s="24">
        <v>225.5</v>
      </c>
      <c r="K15" s="63">
        <f>(225.5/350)*100</f>
        <v>64.428571428571431</v>
      </c>
      <c r="L15" s="42">
        <v>227</v>
      </c>
      <c r="M15" s="68">
        <f>(227/350)*100</f>
        <v>64.857142857142861</v>
      </c>
      <c r="N15" s="26">
        <f t="shared" si="0"/>
        <v>452.5</v>
      </c>
      <c r="O15" s="64">
        <f t="shared" si="1"/>
        <v>64.642857142857139</v>
      </c>
      <c r="P15" s="26"/>
      <c r="Q15" s="92"/>
    </row>
    <row r="16" spans="1:17">
      <c r="A16" s="7">
        <v>8</v>
      </c>
      <c r="B16" s="18">
        <v>0.57500000000003204</v>
      </c>
      <c r="C16" s="27" t="s">
        <v>69</v>
      </c>
      <c r="D16" s="27" t="s">
        <v>70</v>
      </c>
      <c r="E16" s="28" t="s">
        <v>71</v>
      </c>
      <c r="F16" s="27" t="s">
        <v>72</v>
      </c>
      <c r="G16" s="28" t="s">
        <v>73</v>
      </c>
      <c r="H16" s="27" t="s">
        <v>11</v>
      </c>
      <c r="I16" s="29">
        <v>1077</v>
      </c>
      <c r="J16" s="24">
        <v>226</v>
      </c>
      <c r="K16" s="63">
        <f>(226/350)*100</f>
        <v>64.571428571428569</v>
      </c>
      <c r="L16" s="42">
        <v>212</v>
      </c>
      <c r="M16" s="68">
        <f>(212/350)*100</f>
        <v>60.571428571428577</v>
      </c>
      <c r="N16" s="26">
        <f t="shared" si="0"/>
        <v>438</v>
      </c>
      <c r="O16" s="64">
        <f t="shared" si="1"/>
        <v>62.571428571428569</v>
      </c>
      <c r="P16" s="26"/>
      <c r="Q16" s="92"/>
    </row>
    <row r="17" spans="1:17">
      <c r="A17" s="7">
        <v>9</v>
      </c>
      <c r="B17" s="18">
        <v>0.58055555555558902</v>
      </c>
      <c r="C17" s="33" t="s">
        <v>130</v>
      </c>
      <c r="D17" s="33" t="s">
        <v>131</v>
      </c>
      <c r="E17" s="34" t="s">
        <v>132</v>
      </c>
      <c r="F17" s="33" t="s">
        <v>133</v>
      </c>
      <c r="G17" s="44" t="s">
        <v>134</v>
      </c>
      <c r="H17" s="45" t="s">
        <v>0</v>
      </c>
      <c r="I17" s="44" t="s">
        <v>134</v>
      </c>
      <c r="J17" s="24"/>
      <c r="K17" s="63"/>
      <c r="L17" s="42"/>
      <c r="M17" s="68"/>
      <c r="N17" s="26">
        <f t="shared" si="0"/>
        <v>0</v>
      </c>
      <c r="O17" s="64">
        <f t="shared" si="1"/>
        <v>0</v>
      </c>
      <c r="P17" s="26" t="s">
        <v>182</v>
      </c>
      <c r="Q17" s="92"/>
    </row>
    <row r="18" spans="1:17">
      <c r="A18" s="7">
        <v>10</v>
      </c>
      <c r="B18" s="18">
        <v>0.586111111111146</v>
      </c>
      <c r="C18" s="69" t="s">
        <v>2</v>
      </c>
      <c r="D18" s="69" t="s">
        <v>116</v>
      </c>
      <c r="E18" s="70">
        <v>3099919</v>
      </c>
      <c r="F18" s="69" t="s">
        <v>118</v>
      </c>
      <c r="G18" s="23">
        <v>20093848</v>
      </c>
      <c r="H18" s="22" t="s">
        <v>11</v>
      </c>
      <c r="I18" s="23">
        <v>540</v>
      </c>
      <c r="J18" s="24"/>
      <c r="K18" s="63"/>
      <c r="L18" s="42"/>
      <c r="M18" s="68"/>
      <c r="N18" s="26">
        <f t="shared" si="0"/>
        <v>0</v>
      </c>
      <c r="O18" s="64">
        <f t="shared" si="1"/>
        <v>0</v>
      </c>
      <c r="P18" s="26" t="s">
        <v>182</v>
      </c>
      <c r="Q18" s="92"/>
    </row>
    <row r="22" spans="1:17" ht="42">
      <c r="C22" s="36" t="s">
        <v>3</v>
      </c>
      <c r="D22" s="36" t="s">
        <v>4</v>
      </c>
      <c r="E22" s="37" t="s">
        <v>5</v>
      </c>
      <c r="F22" s="36" t="s">
        <v>6</v>
      </c>
      <c r="G22" s="37" t="s">
        <v>7</v>
      </c>
      <c r="H22" s="36" t="s">
        <v>142</v>
      </c>
      <c r="I22" s="37" t="s">
        <v>8</v>
      </c>
      <c r="J22" s="79" t="s">
        <v>170</v>
      </c>
      <c r="K22" s="79"/>
      <c r="L22" s="80" t="s">
        <v>183</v>
      </c>
      <c r="M22" s="81"/>
      <c r="N22" s="73" t="s">
        <v>166</v>
      </c>
      <c r="O22" s="73"/>
      <c r="P22" s="38" t="s">
        <v>168</v>
      </c>
      <c r="Q22" s="71" t="s">
        <v>142</v>
      </c>
    </row>
    <row r="23" spans="1:17">
      <c r="A23" s="6" t="s">
        <v>145</v>
      </c>
      <c r="B23" s="18"/>
      <c r="C23" s="39" t="s">
        <v>146</v>
      </c>
      <c r="D23" s="41"/>
      <c r="E23" s="46"/>
      <c r="F23" s="41"/>
      <c r="G23" s="46"/>
      <c r="H23" s="41"/>
      <c r="I23" s="41"/>
      <c r="J23" s="41"/>
      <c r="K23" s="41" t="s">
        <v>162</v>
      </c>
      <c r="L23" s="41"/>
      <c r="M23" s="41" t="s">
        <v>162</v>
      </c>
      <c r="N23" s="41"/>
      <c r="O23" s="41" t="s">
        <v>162</v>
      </c>
      <c r="P23" s="41"/>
      <c r="Q23" s="41"/>
    </row>
    <row r="24" spans="1:17">
      <c r="A24" s="7">
        <v>1</v>
      </c>
      <c r="B24" s="18">
        <v>0.55694444444445101</v>
      </c>
      <c r="C24" s="22" t="s">
        <v>2</v>
      </c>
      <c r="D24" s="22" t="s">
        <v>126</v>
      </c>
      <c r="E24" s="23">
        <v>3096525</v>
      </c>
      <c r="F24" s="22" t="s">
        <v>128</v>
      </c>
      <c r="G24" s="23">
        <v>30043888</v>
      </c>
      <c r="H24" s="22" t="s">
        <v>11</v>
      </c>
      <c r="I24" s="23">
        <v>1172</v>
      </c>
      <c r="J24" s="47">
        <v>193</v>
      </c>
      <c r="K24" s="66">
        <f>(193/290)*100</f>
        <v>66.551724137931032</v>
      </c>
      <c r="L24" s="48">
        <v>196</v>
      </c>
      <c r="M24" s="67">
        <f>(196/290)*100</f>
        <v>67.58620689655173</v>
      </c>
      <c r="N24" s="26">
        <f t="shared" ref="N24:N30" si="2">J24+L24</f>
        <v>389</v>
      </c>
      <c r="O24" s="64">
        <f t="shared" ref="O24:O30" si="3">(K24+M24)/2</f>
        <v>67.068965517241381</v>
      </c>
      <c r="P24" s="26">
        <v>1</v>
      </c>
      <c r="Q24" s="71">
        <v>1</v>
      </c>
    </row>
    <row r="25" spans="1:17">
      <c r="A25" s="7">
        <v>2</v>
      </c>
      <c r="B25" s="18">
        <v>0.56250000000000699</v>
      </c>
      <c r="C25" s="22" t="s">
        <v>136</v>
      </c>
      <c r="D25" s="22" t="s">
        <v>137</v>
      </c>
      <c r="E25" s="23">
        <v>1010658</v>
      </c>
      <c r="F25" s="22" t="s">
        <v>139</v>
      </c>
      <c r="G25" s="23">
        <v>30038908</v>
      </c>
      <c r="H25" s="22" t="s">
        <v>11</v>
      </c>
      <c r="I25" s="49" t="s">
        <v>141</v>
      </c>
      <c r="J25" s="47">
        <v>192</v>
      </c>
      <c r="K25" s="66">
        <f>(192/290)*100</f>
        <v>66.206896551724142</v>
      </c>
      <c r="L25" s="48">
        <v>194.5</v>
      </c>
      <c r="M25" s="67">
        <f>(194.5/290)*100</f>
        <v>67.068965517241381</v>
      </c>
      <c r="N25" s="26">
        <f t="shared" si="2"/>
        <v>386.5</v>
      </c>
      <c r="O25" s="64">
        <f t="shared" si="3"/>
        <v>66.637931034482762</v>
      </c>
      <c r="P25" s="26">
        <v>2</v>
      </c>
      <c r="Q25" s="71">
        <v>2</v>
      </c>
    </row>
    <row r="26" spans="1:17">
      <c r="A26" s="7">
        <v>3</v>
      </c>
      <c r="B26" s="18">
        <v>0.56805555555556297</v>
      </c>
      <c r="C26" s="22" t="s">
        <v>36</v>
      </c>
      <c r="D26" s="22" t="s">
        <v>37</v>
      </c>
      <c r="E26" s="23">
        <v>3031683</v>
      </c>
      <c r="F26" s="22" t="s">
        <v>39</v>
      </c>
      <c r="G26" s="23">
        <v>30045564</v>
      </c>
      <c r="H26" s="22" t="s">
        <v>11</v>
      </c>
      <c r="I26" s="23">
        <v>2095</v>
      </c>
      <c r="J26" s="47">
        <v>188.5</v>
      </c>
      <c r="K26" s="66">
        <f>(188.5/290)*100</f>
        <v>65</v>
      </c>
      <c r="L26" s="48">
        <v>184.5</v>
      </c>
      <c r="M26" s="67">
        <f>(184.5/290)*100</f>
        <v>63.620689655172413</v>
      </c>
      <c r="N26" s="26">
        <f t="shared" si="2"/>
        <v>373</v>
      </c>
      <c r="O26" s="64">
        <f t="shared" si="3"/>
        <v>64.310344827586206</v>
      </c>
      <c r="P26" s="26">
        <v>3</v>
      </c>
      <c r="Q26" s="71">
        <v>3</v>
      </c>
    </row>
    <row r="27" spans="1:17">
      <c r="A27" s="7">
        <v>4</v>
      </c>
      <c r="B27" s="18">
        <v>0.57361111111111895</v>
      </c>
      <c r="C27" s="22" t="s">
        <v>111</v>
      </c>
      <c r="D27" s="22" t="s">
        <v>112</v>
      </c>
      <c r="E27" s="23">
        <v>3201476</v>
      </c>
      <c r="F27" s="22" t="s">
        <v>114</v>
      </c>
      <c r="G27" s="23">
        <v>30502262</v>
      </c>
      <c r="H27" s="22" t="s">
        <v>0</v>
      </c>
      <c r="I27" s="23">
        <v>4219</v>
      </c>
      <c r="J27" s="47">
        <v>180</v>
      </c>
      <c r="K27" s="66">
        <f>(180/290)*100</f>
        <v>62.068965517241381</v>
      </c>
      <c r="L27" s="48">
        <v>192.5</v>
      </c>
      <c r="M27" s="67">
        <f>(192.5/290)*100</f>
        <v>66.379310344827587</v>
      </c>
      <c r="N27" s="26">
        <f t="shared" si="2"/>
        <v>372.5</v>
      </c>
      <c r="O27" s="64">
        <f t="shared" si="3"/>
        <v>64.224137931034477</v>
      </c>
      <c r="P27" s="26">
        <v>4</v>
      </c>
      <c r="Q27" s="92"/>
    </row>
    <row r="28" spans="1:17">
      <c r="A28" s="7">
        <v>5</v>
      </c>
      <c r="B28" s="18">
        <v>0.57916666666667505</v>
      </c>
      <c r="C28" s="22" t="s">
        <v>54</v>
      </c>
      <c r="D28" s="22" t="s">
        <v>55</v>
      </c>
      <c r="E28" s="23">
        <v>3009629</v>
      </c>
      <c r="F28" s="22" t="s">
        <v>57</v>
      </c>
      <c r="G28" s="23">
        <v>30047386</v>
      </c>
      <c r="H28" s="22" t="s">
        <v>0</v>
      </c>
      <c r="I28" s="23">
        <v>3225</v>
      </c>
      <c r="J28" s="47">
        <v>182.5</v>
      </c>
      <c r="K28" s="66">
        <f>(182.5/290)*100</f>
        <v>62.931034482758619</v>
      </c>
      <c r="L28" s="48">
        <v>189</v>
      </c>
      <c r="M28" s="67">
        <f>(189/290)*100</f>
        <v>65.172413793103445</v>
      </c>
      <c r="N28" s="26">
        <f t="shared" si="2"/>
        <v>371.5</v>
      </c>
      <c r="O28" s="64">
        <f t="shared" si="3"/>
        <v>64.051724137931032</v>
      </c>
      <c r="P28" s="26">
        <v>5</v>
      </c>
      <c r="Q28" s="92"/>
    </row>
    <row r="29" spans="1:17">
      <c r="A29" s="7">
        <v>6</v>
      </c>
      <c r="B29" s="18">
        <v>0.58472222222223103</v>
      </c>
      <c r="C29" s="43" t="s">
        <v>158</v>
      </c>
      <c r="D29" s="43" t="s">
        <v>159</v>
      </c>
      <c r="E29" s="28">
        <v>3013766</v>
      </c>
      <c r="F29" s="27" t="s">
        <v>160</v>
      </c>
      <c r="G29" s="28">
        <v>30501922</v>
      </c>
      <c r="H29" s="27"/>
      <c r="I29" s="29">
        <v>4130</v>
      </c>
      <c r="J29" s="47">
        <v>178.5</v>
      </c>
      <c r="K29" s="66">
        <f>(178.5/290)*100</f>
        <v>61.551724137931032</v>
      </c>
      <c r="L29" s="48">
        <v>187.5</v>
      </c>
      <c r="M29" s="67">
        <f>(187.5/290)*100</f>
        <v>64.65517241379311</v>
      </c>
      <c r="N29" s="26">
        <f t="shared" si="2"/>
        <v>366</v>
      </c>
      <c r="O29" s="64">
        <f t="shared" si="3"/>
        <v>63.103448275862071</v>
      </c>
      <c r="P29" s="26">
        <v>6</v>
      </c>
      <c r="Q29" s="92"/>
    </row>
    <row r="30" spans="1:17">
      <c r="A30" s="7">
        <v>7</v>
      </c>
      <c r="B30" s="18">
        <v>0.590277777777787</v>
      </c>
      <c r="C30" s="22" t="s">
        <v>1</v>
      </c>
      <c r="D30" s="22" t="s">
        <v>82</v>
      </c>
      <c r="E30" s="23">
        <v>3105488</v>
      </c>
      <c r="F30" s="22" t="s">
        <v>84</v>
      </c>
      <c r="G30" s="23">
        <v>30500279</v>
      </c>
      <c r="H30" s="22" t="s">
        <v>11</v>
      </c>
      <c r="I30" s="23">
        <v>3486</v>
      </c>
      <c r="J30" s="47">
        <v>180.5</v>
      </c>
      <c r="K30" s="66">
        <f>(180.5/290)*100</f>
        <v>62.241379310344826</v>
      </c>
      <c r="L30" s="48">
        <v>179</v>
      </c>
      <c r="M30" s="67">
        <f>(179/290)*100</f>
        <v>61.724137931034484</v>
      </c>
      <c r="N30" s="26">
        <f t="shared" si="2"/>
        <v>359.5</v>
      </c>
      <c r="O30" s="64">
        <f t="shared" si="3"/>
        <v>61.982758620689651</v>
      </c>
      <c r="P30" s="26"/>
      <c r="Q30" s="92"/>
    </row>
  </sheetData>
  <sortState ref="C32:G39">
    <sortCondition descending="1" ref="G32:G39"/>
  </sortState>
  <mergeCells count="6">
    <mergeCell ref="J7:K7"/>
    <mergeCell ref="L7:M7"/>
    <mergeCell ref="N7:O7"/>
    <mergeCell ref="J22:K22"/>
    <mergeCell ref="L22:M22"/>
    <mergeCell ref="N22:O22"/>
  </mergeCells>
  <phoneticPr fontId="7" type="noConversion"/>
  <pageMargins left="0.7" right="0.7" top="0.75" bottom="0.75" header="0.3" footer="0.3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9"/>
  <sheetViews>
    <sheetView tabSelected="1" zoomScale="125" zoomScaleNormal="125" zoomScalePageLayoutView="125" workbookViewId="0">
      <selection activeCell="H33" sqref="H33"/>
    </sheetView>
  </sheetViews>
  <sheetFormatPr baseColWidth="10" defaultColWidth="10.33203125" defaultRowHeight="14" x14ac:dyDescent="0"/>
  <cols>
    <col min="4" max="4" width="16.5" bestFit="1" customWidth="1"/>
    <col min="5" max="5" width="9.5" bestFit="1" customWidth="1"/>
    <col min="6" max="6" width="28.33203125" bestFit="1" customWidth="1"/>
  </cols>
  <sheetData>
    <row r="1" spans="1:17" s="94" customFormat="1">
      <c r="A1" s="94" t="s">
        <v>191</v>
      </c>
    </row>
    <row r="2" spans="1:17" s="94" customFormat="1">
      <c r="A2" s="94" t="s">
        <v>190</v>
      </c>
      <c r="B2" s="95">
        <v>42379</v>
      </c>
    </row>
    <row r="3" spans="1:17" s="94" customFormat="1">
      <c r="A3" s="94" t="s">
        <v>192</v>
      </c>
      <c r="B3" s="95" t="s">
        <v>193</v>
      </c>
    </row>
    <row r="4" spans="1:17" s="94" customFormat="1">
      <c r="A4" s="94" t="s">
        <v>194</v>
      </c>
      <c r="B4" s="95" t="s">
        <v>195</v>
      </c>
    </row>
    <row r="7" spans="1:17" ht="42" customHeight="1">
      <c r="C7" s="36" t="s">
        <v>3</v>
      </c>
      <c r="D7" s="36" t="s">
        <v>4</v>
      </c>
      <c r="E7" s="37" t="s">
        <v>5</v>
      </c>
      <c r="F7" s="36" t="s">
        <v>6</v>
      </c>
      <c r="G7" s="37" t="s">
        <v>7</v>
      </c>
      <c r="H7" s="36" t="s">
        <v>142</v>
      </c>
      <c r="I7" s="37" t="s">
        <v>8</v>
      </c>
      <c r="J7" s="100" t="s">
        <v>185</v>
      </c>
      <c r="K7" s="101"/>
      <c r="L7" s="98" t="s">
        <v>186</v>
      </c>
      <c r="M7" s="99"/>
      <c r="N7" s="96" t="s">
        <v>166</v>
      </c>
      <c r="O7" s="97"/>
      <c r="P7" s="38" t="s">
        <v>168</v>
      </c>
      <c r="Q7" s="71" t="s">
        <v>142</v>
      </c>
    </row>
    <row r="8" spans="1:17">
      <c r="A8" s="8" t="s">
        <v>147</v>
      </c>
      <c r="B8" s="19"/>
      <c r="C8" s="50" t="s">
        <v>148</v>
      </c>
      <c r="D8" s="50"/>
      <c r="E8" s="51"/>
      <c r="F8" s="50"/>
      <c r="G8" s="51"/>
      <c r="H8" s="50"/>
      <c r="I8" s="50"/>
      <c r="J8" s="50"/>
      <c r="K8" s="50" t="s">
        <v>162</v>
      </c>
      <c r="L8" s="50"/>
      <c r="M8" s="50" t="s">
        <v>162</v>
      </c>
      <c r="N8" s="50"/>
      <c r="O8" s="50" t="s">
        <v>162</v>
      </c>
      <c r="P8" s="50"/>
      <c r="Q8" s="50"/>
    </row>
    <row r="9" spans="1:17">
      <c r="A9" s="10">
        <v>1</v>
      </c>
      <c r="B9" s="20">
        <v>0.61111111111111105</v>
      </c>
      <c r="C9" s="27" t="s">
        <v>120</v>
      </c>
      <c r="D9" s="27" t="s">
        <v>121</v>
      </c>
      <c r="E9" s="28" t="s">
        <v>122</v>
      </c>
      <c r="F9" s="27" t="s">
        <v>123</v>
      </c>
      <c r="G9" s="28" t="s">
        <v>122</v>
      </c>
      <c r="H9" s="27" t="s">
        <v>0</v>
      </c>
      <c r="I9" s="29">
        <v>2562</v>
      </c>
      <c r="J9" s="47">
        <v>227</v>
      </c>
      <c r="K9" s="66">
        <f>(227/360)*100</f>
        <v>63.055555555555557</v>
      </c>
      <c r="L9" s="52">
        <v>237</v>
      </c>
      <c r="M9" s="72">
        <f>(237/360)*100</f>
        <v>65.833333333333329</v>
      </c>
      <c r="N9" s="26">
        <f t="shared" ref="N9:N17" si="0">J9+L9</f>
        <v>464</v>
      </c>
      <c r="O9" s="64">
        <f t="shared" ref="O9:O14" si="1">(K9+M9)/2</f>
        <v>64.444444444444443</v>
      </c>
      <c r="P9" s="26">
        <v>1</v>
      </c>
      <c r="Q9" s="71"/>
    </row>
    <row r="10" spans="1:17">
      <c r="A10" s="10">
        <v>2</v>
      </c>
      <c r="B10" s="20">
        <v>0.61805555555555558</v>
      </c>
      <c r="C10" s="27" t="s">
        <v>124</v>
      </c>
      <c r="D10" s="27" t="s">
        <v>121</v>
      </c>
      <c r="E10" s="28" t="s">
        <v>122</v>
      </c>
      <c r="F10" s="27" t="s">
        <v>125</v>
      </c>
      <c r="G10" s="28" t="s">
        <v>122</v>
      </c>
      <c r="H10" s="27" t="s">
        <v>0</v>
      </c>
      <c r="I10" s="29">
        <v>2743</v>
      </c>
      <c r="J10" s="47">
        <v>217.5</v>
      </c>
      <c r="K10" s="66">
        <f>(217.5/360)*100</f>
        <v>60.416666666666664</v>
      </c>
      <c r="L10" s="52">
        <v>234</v>
      </c>
      <c r="M10" s="72">
        <f>(234/360)*100</f>
        <v>65</v>
      </c>
      <c r="N10" s="26">
        <f t="shared" si="0"/>
        <v>451.5</v>
      </c>
      <c r="O10" s="64">
        <f t="shared" si="1"/>
        <v>62.708333333333329</v>
      </c>
      <c r="P10" s="26">
        <v>2</v>
      </c>
      <c r="Q10" s="71"/>
    </row>
    <row r="11" spans="1:17">
      <c r="A11" s="10">
        <v>3</v>
      </c>
      <c r="B11" s="20">
        <v>0.625</v>
      </c>
      <c r="C11" s="22" t="s">
        <v>136</v>
      </c>
      <c r="D11" s="22" t="s">
        <v>137</v>
      </c>
      <c r="E11" s="23" t="s">
        <v>138</v>
      </c>
      <c r="F11" s="22" t="s">
        <v>139</v>
      </c>
      <c r="G11" s="23" t="s">
        <v>140</v>
      </c>
      <c r="H11" s="22" t="s">
        <v>11</v>
      </c>
      <c r="I11" s="31" t="s">
        <v>141</v>
      </c>
      <c r="J11" s="47">
        <v>214.5</v>
      </c>
      <c r="K11" s="66">
        <f>(214.5/360)*100</f>
        <v>59.583333333333336</v>
      </c>
      <c r="L11" s="52">
        <v>228.5</v>
      </c>
      <c r="M11" s="72">
        <f>(228.5/360)*100</f>
        <v>63.472222222222221</v>
      </c>
      <c r="N11" s="26">
        <f t="shared" si="0"/>
        <v>443</v>
      </c>
      <c r="O11" s="64">
        <f t="shared" si="1"/>
        <v>61.527777777777779</v>
      </c>
      <c r="P11" s="26">
        <v>3</v>
      </c>
      <c r="Q11" s="71">
        <v>1</v>
      </c>
    </row>
    <row r="12" spans="1:17">
      <c r="A12" s="10">
        <v>4</v>
      </c>
      <c r="B12" s="20">
        <v>0.63194444444444497</v>
      </c>
      <c r="C12" s="27" t="s">
        <v>21</v>
      </c>
      <c r="D12" s="27" t="s">
        <v>22</v>
      </c>
      <c r="E12" s="28" t="s">
        <v>23</v>
      </c>
      <c r="F12" s="27" t="s">
        <v>24</v>
      </c>
      <c r="G12" s="28" t="s">
        <v>25</v>
      </c>
      <c r="H12" s="27" t="s">
        <v>11</v>
      </c>
      <c r="I12" s="29">
        <v>4248</v>
      </c>
      <c r="J12" s="47">
        <v>221.5</v>
      </c>
      <c r="K12" s="66">
        <f>(221.5/360)*100</f>
        <v>61.527777777777779</v>
      </c>
      <c r="L12" s="52">
        <v>221</v>
      </c>
      <c r="M12" s="72">
        <f>(221/360)*100</f>
        <v>61.388888888888893</v>
      </c>
      <c r="N12" s="26">
        <f t="shared" si="0"/>
        <v>442.5</v>
      </c>
      <c r="O12" s="64">
        <f t="shared" si="1"/>
        <v>61.458333333333336</v>
      </c>
      <c r="P12" s="26">
        <v>4</v>
      </c>
      <c r="Q12" s="71">
        <v>2</v>
      </c>
    </row>
    <row r="13" spans="1:17">
      <c r="A13" s="10">
        <v>5</v>
      </c>
      <c r="B13" s="20">
        <v>0.63888888888888895</v>
      </c>
      <c r="C13" s="27" t="s">
        <v>31</v>
      </c>
      <c r="D13" s="27" t="s">
        <v>32</v>
      </c>
      <c r="E13" s="28" t="s">
        <v>33</v>
      </c>
      <c r="F13" s="27" t="s">
        <v>34</v>
      </c>
      <c r="G13" s="28" t="s">
        <v>35</v>
      </c>
      <c r="H13" s="27" t="s">
        <v>11</v>
      </c>
      <c r="I13" s="29">
        <v>2786</v>
      </c>
      <c r="J13" s="47">
        <v>221.5</v>
      </c>
      <c r="K13" s="66">
        <f>(221.5/360)*100</f>
        <v>61.527777777777779</v>
      </c>
      <c r="L13" s="52">
        <v>217</v>
      </c>
      <c r="M13" s="72">
        <f>(217/360)*100</f>
        <v>60.277777777777771</v>
      </c>
      <c r="N13" s="26">
        <f t="shared" si="0"/>
        <v>438.5</v>
      </c>
      <c r="O13" s="64">
        <f t="shared" si="1"/>
        <v>60.902777777777771</v>
      </c>
      <c r="P13" s="26">
        <v>5</v>
      </c>
      <c r="Q13" s="71">
        <v>3</v>
      </c>
    </row>
    <row r="14" spans="1:17">
      <c r="A14" s="10">
        <v>6</v>
      </c>
      <c r="B14" s="20">
        <v>0.64583333333333404</v>
      </c>
      <c r="C14" s="27" t="s">
        <v>49</v>
      </c>
      <c r="D14" s="27" t="s">
        <v>50</v>
      </c>
      <c r="E14" s="28" t="s">
        <v>51</v>
      </c>
      <c r="F14" s="27" t="s">
        <v>52</v>
      </c>
      <c r="G14" s="28" t="s">
        <v>53</v>
      </c>
      <c r="H14" s="27" t="s">
        <v>0</v>
      </c>
      <c r="I14" s="29">
        <v>3970</v>
      </c>
      <c r="J14" s="47">
        <v>212</v>
      </c>
      <c r="K14" s="66">
        <f>(212/360)*100</f>
        <v>58.888888888888893</v>
      </c>
      <c r="L14" s="52">
        <v>221.5</v>
      </c>
      <c r="M14" s="72">
        <f>(221.5/360)*100</f>
        <v>61.527777777777779</v>
      </c>
      <c r="N14" s="26">
        <f t="shared" si="0"/>
        <v>433.5</v>
      </c>
      <c r="O14" s="64">
        <f t="shared" si="1"/>
        <v>60.208333333333336</v>
      </c>
      <c r="P14" s="26">
        <v>6</v>
      </c>
      <c r="Q14" s="26"/>
    </row>
    <row r="15" spans="1:17">
      <c r="A15" s="10">
        <v>7</v>
      </c>
      <c r="B15" s="20">
        <v>0.65277777777777801</v>
      </c>
      <c r="C15" s="33" t="s">
        <v>86</v>
      </c>
      <c r="D15" s="33" t="s">
        <v>87</v>
      </c>
      <c r="E15" s="34" t="s">
        <v>88</v>
      </c>
      <c r="F15" s="33" t="s">
        <v>89</v>
      </c>
      <c r="G15" s="34" t="s">
        <v>90</v>
      </c>
      <c r="H15" s="33" t="s">
        <v>0</v>
      </c>
      <c r="I15" s="35">
        <v>450</v>
      </c>
      <c r="J15" s="47"/>
      <c r="K15" s="66"/>
      <c r="L15" s="52"/>
      <c r="M15" s="26" t="s">
        <v>182</v>
      </c>
      <c r="N15" s="26">
        <f t="shared" si="0"/>
        <v>0</v>
      </c>
      <c r="O15" s="64">
        <v>0</v>
      </c>
      <c r="P15" s="26" t="s">
        <v>182</v>
      </c>
      <c r="Q15" s="26"/>
    </row>
    <row r="16" spans="1:17">
      <c r="A16" s="10">
        <v>8</v>
      </c>
      <c r="B16" s="20">
        <v>0.65972222222222299</v>
      </c>
      <c r="C16" s="33" t="s">
        <v>97</v>
      </c>
      <c r="D16" s="33" t="s">
        <v>98</v>
      </c>
      <c r="E16" s="28" t="s">
        <v>99</v>
      </c>
      <c r="F16" s="27" t="s">
        <v>100</v>
      </c>
      <c r="G16" s="28" t="s">
        <v>101</v>
      </c>
      <c r="H16" s="27" t="s">
        <v>0</v>
      </c>
      <c r="I16" s="29">
        <v>3351</v>
      </c>
      <c r="J16" s="47"/>
      <c r="K16" s="66"/>
      <c r="L16" s="52"/>
      <c r="M16" s="26" t="s">
        <v>182</v>
      </c>
      <c r="N16" s="26">
        <f t="shared" si="0"/>
        <v>0</v>
      </c>
      <c r="O16" s="64">
        <v>0</v>
      </c>
      <c r="P16" s="26" t="s">
        <v>182</v>
      </c>
      <c r="Q16" s="26"/>
    </row>
    <row r="17" spans="1:17">
      <c r="A17" s="10">
        <v>9</v>
      </c>
      <c r="B17" s="20">
        <v>0.66666666666666696</v>
      </c>
      <c r="C17" s="33" t="s">
        <v>54</v>
      </c>
      <c r="D17" s="33" t="s">
        <v>55</v>
      </c>
      <c r="E17" s="28" t="s">
        <v>56</v>
      </c>
      <c r="F17" s="27" t="s">
        <v>57</v>
      </c>
      <c r="G17" s="28" t="s">
        <v>58</v>
      </c>
      <c r="H17" s="27" t="s">
        <v>0</v>
      </c>
      <c r="I17" s="29">
        <v>3225</v>
      </c>
      <c r="J17" s="47"/>
      <c r="K17" s="66"/>
      <c r="L17" s="52"/>
      <c r="M17" s="72" t="s">
        <v>182</v>
      </c>
      <c r="N17" s="26">
        <f t="shared" si="0"/>
        <v>0</v>
      </c>
      <c r="O17" s="64">
        <v>0</v>
      </c>
      <c r="P17" s="26" t="s">
        <v>182</v>
      </c>
      <c r="Q17" s="26"/>
    </row>
    <row r="21" spans="1:17" ht="42">
      <c r="C21" s="36" t="s">
        <v>3</v>
      </c>
      <c r="D21" s="36" t="s">
        <v>4</v>
      </c>
      <c r="E21" s="37" t="s">
        <v>5</v>
      </c>
      <c r="F21" s="36" t="s">
        <v>6</v>
      </c>
      <c r="G21" s="37" t="s">
        <v>7</v>
      </c>
      <c r="H21" s="36" t="s">
        <v>142</v>
      </c>
      <c r="I21" s="37" t="s">
        <v>8</v>
      </c>
      <c r="J21" s="78" t="s">
        <v>187</v>
      </c>
      <c r="K21" s="77"/>
      <c r="L21" s="82" t="s">
        <v>188</v>
      </c>
      <c r="M21" s="76"/>
      <c r="N21" s="73" t="s">
        <v>166</v>
      </c>
      <c r="O21" s="73"/>
      <c r="P21" s="38" t="s">
        <v>168</v>
      </c>
      <c r="Q21" s="71" t="s">
        <v>142</v>
      </c>
    </row>
    <row r="22" spans="1:17">
      <c r="A22" s="9" t="s">
        <v>149</v>
      </c>
      <c r="B22" s="19"/>
      <c r="C22" s="50" t="s">
        <v>151</v>
      </c>
      <c r="D22" s="50"/>
      <c r="E22" s="51"/>
      <c r="F22" s="50"/>
      <c r="G22" s="51"/>
      <c r="H22" s="50"/>
      <c r="I22" s="50"/>
      <c r="J22" s="50"/>
      <c r="K22" s="50" t="s">
        <v>162</v>
      </c>
      <c r="L22" s="50"/>
      <c r="M22" s="50" t="s">
        <v>162</v>
      </c>
      <c r="N22" s="50"/>
      <c r="O22" s="50" t="s">
        <v>162</v>
      </c>
      <c r="P22" s="50"/>
      <c r="Q22" s="50"/>
    </row>
    <row r="23" spans="1:17">
      <c r="A23" s="10">
        <v>1</v>
      </c>
      <c r="B23" s="20">
        <v>0.63194444444444497</v>
      </c>
      <c r="C23" s="27" t="s">
        <v>31</v>
      </c>
      <c r="D23" s="27" t="s">
        <v>32</v>
      </c>
      <c r="E23" s="53" t="s">
        <v>33</v>
      </c>
      <c r="F23" s="27" t="s">
        <v>34</v>
      </c>
      <c r="G23" s="28" t="s">
        <v>35</v>
      </c>
      <c r="H23" s="27" t="s">
        <v>11</v>
      </c>
      <c r="I23" s="29">
        <v>2786</v>
      </c>
      <c r="J23" s="25">
        <v>251.5</v>
      </c>
      <c r="K23" s="65">
        <f>(251.5/400)*100</f>
        <v>62.875</v>
      </c>
      <c r="L23" s="24">
        <v>273.5</v>
      </c>
      <c r="M23" s="63">
        <f>(273.5/400)*100</f>
        <v>68.375</v>
      </c>
      <c r="N23" s="64">
        <f t="shared" ref="N23:N29" si="2">J23+L23</f>
        <v>525</v>
      </c>
      <c r="O23" s="64">
        <f>(K23+M23)/2</f>
        <v>65.625</v>
      </c>
      <c r="P23" s="26">
        <v>1</v>
      </c>
      <c r="Q23" s="71">
        <v>1</v>
      </c>
    </row>
    <row r="24" spans="1:17">
      <c r="A24" s="10">
        <v>2</v>
      </c>
      <c r="B24" s="20">
        <v>0.63888888888888895</v>
      </c>
      <c r="C24" s="27" t="s">
        <v>124</v>
      </c>
      <c r="D24" s="27" t="s">
        <v>121</v>
      </c>
      <c r="E24" s="53" t="s">
        <v>122</v>
      </c>
      <c r="F24" s="27" t="s">
        <v>125</v>
      </c>
      <c r="G24" s="28" t="s">
        <v>122</v>
      </c>
      <c r="H24" s="27" t="s">
        <v>0</v>
      </c>
      <c r="I24" s="29">
        <v>2743</v>
      </c>
      <c r="J24" s="25">
        <v>253</v>
      </c>
      <c r="K24" s="65">
        <f>(253/400)*100</f>
        <v>63.249999999999993</v>
      </c>
      <c r="L24" s="24">
        <v>265.5</v>
      </c>
      <c r="M24" s="63">
        <f>(265.5/400)*100</f>
        <v>66.375</v>
      </c>
      <c r="N24" s="64">
        <f t="shared" si="2"/>
        <v>518.5</v>
      </c>
      <c r="O24" s="64">
        <f>(K24+M24)/2</f>
        <v>64.8125</v>
      </c>
      <c r="P24" s="26">
        <v>2</v>
      </c>
      <c r="Q24" s="71"/>
    </row>
    <row r="25" spans="1:17">
      <c r="A25" s="10">
        <v>3</v>
      </c>
      <c r="B25" s="20">
        <v>0.64583333333333404</v>
      </c>
      <c r="C25" s="27" t="s">
        <v>21</v>
      </c>
      <c r="D25" s="27" t="s">
        <v>22</v>
      </c>
      <c r="E25" s="53" t="s">
        <v>23</v>
      </c>
      <c r="F25" s="27" t="s">
        <v>24</v>
      </c>
      <c r="G25" s="28" t="s">
        <v>25</v>
      </c>
      <c r="H25" s="27" t="s">
        <v>11</v>
      </c>
      <c r="I25" s="29">
        <v>4248</v>
      </c>
      <c r="J25" s="25">
        <v>254.5</v>
      </c>
      <c r="K25" s="65">
        <f>(254.5/400)*100</f>
        <v>63.625</v>
      </c>
      <c r="L25" s="24">
        <v>248</v>
      </c>
      <c r="M25" s="63">
        <f>(248/400)*100</f>
        <v>62</v>
      </c>
      <c r="N25" s="64">
        <f t="shared" si="2"/>
        <v>502.5</v>
      </c>
      <c r="O25" s="64">
        <f>(K25+M25)/2</f>
        <v>62.8125</v>
      </c>
      <c r="P25" s="26">
        <v>3</v>
      </c>
      <c r="Q25" s="71">
        <v>2</v>
      </c>
    </row>
    <row r="26" spans="1:17">
      <c r="A26" s="10">
        <v>4</v>
      </c>
      <c r="B26" s="20">
        <v>0.65277777777777701</v>
      </c>
      <c r="C26" s="27" t="s">
        <v>120</v>
      </c>
      <c r="D26" s="27" t="s">
        <v>121</v>
      </c>
      <c r="E26" s="53" t="s">
        <v>122</v>
      </c>
      <c r="F26" s="27" t="s">
        <v>123</v>
      </c>
      <c r="G26" s="28" t="s">
        <v>122</v>
      </c>
      <c r="H26" s="27" t="s">
        <v>0</v>
      </c>
      <c r="I26" s="29">
        <v>2562</v>
      </c>
      <c r="J26" s="25">
        <v>249.5</v>
      </c>
      <c r="K26" s="65">
        <f>(249.5/400)*100</f>
        <v>62.375</v>
      </c>
      <c r="L26" s="24">
        <v>252</v>
      </c>
      <c r="M26" s="63">
        <f>(252/400)*100</f>
        <v>63</v>
      </c>
      <c r="N26" s="64">
        <f t="shared" si="2"/>
        <v>501.5</v>
      </c>
      <c r="O26" s="64">
        <f>(K26+M26)/2</f>
        <v>62.6875</v>
      </c>
      <c r="P26" s="26">
        <v>4</v>
      </c>
      <c r="Q26" s="71"/>
    </row>
    <row r="27" spans="1:17">
      <c r="A27" s="10">
        <v>5</v>
      </c>
      <c r="B27" s="20">
        <v>0.65972222222222099</v>
      </c>
      <c r="C27" s="27" t="s">
        <v>49</v>
      </c>
      <c r="D27" s="27" t="s">
        <v>50</v>
      </c>
      <c r="E27" s="53" t="s">
        <v>51</v>
      </c>
      <c r="F27" s="27" t="s">
        <v>52</v>
      </c>
      <c r="G27" s="28" t="s">
        <v>53</v>
      </c>
      <c r="H27" s="27" t="s">
        <v>0</v>
      </c>
      <c r="I27" s="29">
        <v>3970</v>
      </c>
      <c r="J27" s="25">
        <v>240</v>
      </c>
      <c r="K27" s="65">
        <f>(240/400)*100</f>
        <v>60</v>
      </c>
      <c r="L27" s="24">
        <v>252.5</v>
      </c>
      <c r="M27" s="63">
        <f>(252.5/400)*100</f>
        <v>63.125</v>
      </c>
      <c r="N27" s="64">
        <f t="shared" si="2"/>
        <v>492.5</v>
      </c>
      <c r="O27" s="64">
        <f>(K27+M27)/2</f>
        <v>61.5625</v>
      </c>
      <c r="P27" s="26">
        <v>5</v>
      </c>
      <c r="Q27" s="26"/>
    </row>
    <row r="28" spans="1:17">
      <c r="A28" s="10">
        <v>6</v>
      </c>
      <c r="B28" s="20">
        <v>0.66666666666666496</v>
      </c>
      <c r="C28" s="33" t="s">
        <v>86</v>
      </c>
      <c r="D28" s="33" t="s">
        <v>87</v>
      </c>
      <c r="E28" s="54" t="s">
        <v>88</v>
      </c>
      <c r="F28" s="33" t="s">
        <v>89</v>
      </c>
      <c r="G28" s="34" t="s">
        <v>90</v>
      </c>
      <c r="H28" s="33" t="s">
        <v>0</v>
      </c>
      <c r="I28" s="35">
        <v>450</v>
      </c>
      <c r="J28" s="25"/>
      <c r="K28" s="65"/>
      <c r="L28" s="24"/>
      <c r="M28" s="63" t="s">
        <v>189</v>
      </c>
      <c r="N28" s="64">
        <f t="shared" si="2"/>
        <v>0</v>
      </c>
      <c r="O28" s="64">
        <v>0</v>
      </c>
      <c r="P28" s="26" t="s">
        <v>182</v>
      </c>
      <c r="Q28" s="26"/>
    </row>
    <row r="29" spans="1:17">
      <c r="A29" s="10">
        <v>7</v>
      </c>
      <c r="B29" s="20">
        <v>0.67361111111110905</v>
      </c>
      <c r="C29" s="33" t="s">
        <v>97</v>
      </c>
      <c r="D29" s="33" t="s">
        <v>98</v>
      </c>
      <c r="E29" s="54" t="s">
        <v>99</v>
      </c>
      <c r="F29" s="93" t="s">
        <v>100</v>
      </c>
      <c r="G29" s="34" t="s">
        <v>101</v>
      </c>
      <c r="H29" s="93" t="s">
        <v>0</v>
      </c>
      <c r="I29" s="35">
        <v>3351</v>
      </c>
      <c r="J29" s="25"/>
      <c r="K29" s="65"/>
      <c r="L29" s="24"/>
      <c r="M29" s="63" t="s">
        <v>182</v>
      </c>
      <c r="N29" s="64">
        <f t="shared" si="2"/>
        <v>0</v>
      </c>
      <c r="O29" s="64">
        <v>0</v>
      </c>
      <c r="P29" s="26" t="s">
        <v>182</v>
      </c>
      <c r="Q29" s="26"/>
    </row>
  </sheetData>
  <sortState ref="C32:G36">
    <sortCondition descending="1" ref="G32:G36"/>
  </sortState>
  <mergeCells count="6">
    <mergeCell ref="J7:K7"/>
    <mergeCell ref="L7:M7"/>
    <mergeCell ref="N7:O7"/>
    <mergeCell ref="L21:M21"/>
    <mergeCell ref="J21:K21"/>
    <mergeCell ref="N21:O21"/>
  </mergeCells>
  <phoneticPr fontId="7" type="noConversion"/>
  <pageMargins left="0.7" right="0.7" top="0.75" bottom="0.75" header="0.3" footer="0.3"/>
  <pageSetup paperSize="9" scale="58" orientation="landscape"/>
  <extLst>
    <ext xmlns:mx="http://schemas.microsoft.com/office/mac/excel/2008/main" uri="{64002731-A6B0-56B0-2670-7721B7C09600}">
      <mx:PLV Mode="0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 Prelim</vt:lpstr>
      <vt:lpstr>Off Novice</vt:lpstr>
      <vt:lpstr>Off Elem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 Summer Dressage Jackpot 2016</dc:title>
  <dc:creator>Event Secretary</dc:creator>
  <cp:lastModifiedBy>Dallas Perkins</cp:lastModifiedBy>
  <cp:lastPrinted>2016-01-10T05:39:26Z</cp:lastPrinted>
  <dcterms:created xsi:type="dcterms:W3CDTF">2015-12-21T21:32:26Z</dcterms:created>
  <dcterms:modified xsi:type="dcterms:W3CDTF">2016-01-12T09:47:58Z</dcterms:modified>
</cp:coreProperties>
</file>