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\Documents\Michael's Documents\BDDC\"/>
    </mc:Choice>
  </mc:AlternateContent>
  <bookViews>
    <workbookView xWindow="0" yWindow="0" windowWidth="24000" windowHeight="9735" activeTab="4"/>
  </bookViews>
  <sheets>
    <sheet name="1.2" sheetId="1" r:id="rId1"/>
    <sheet name="2.2" sheetId="2" r:id="rId2"/>
    <sheet name="2.3" sheetId="3" r:id="rId3"/>
    <sheet name="3.2" sheetId="4" r:id="rId4"/>
    <sheet name="3.3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  <c r="F8" i="5"/>
  <c r="G10" i="5"/>
  <c r="F10" i="5"/>
  <c r="G5" i="5"/>
  <c r="F5" i="5"/>
  <c r="G7" i="5"/>
  <c r="F7" i="5"/>
  <c r="G4" i="5"/>
  <c r="F4" i="5"/>
  <c r="G11" i="5"/>
  <c r="F11" i="5"/>
  <c r="F6" i="5"/>
  <c r="G6" i="5"/>
  <c r="G9" i="5"/>
  <c r="F9" i="5"/>
  <c r="F12" i="5"/>
  <c r="G12" i="5"/>
  <c r="G7" i="4"/>
  <c r="F7" i="4"/>
  <c r="G6" i="4"/>
  <c r="F6" i="4"/>
  <c r="F11" i="4"/>
  <c r="G11" i="4"/>
  <c r="G12" i="4"/>
  <c r="F12" i="4"/>
  <c r="G8" i="4"/>
  <c r="F8" i="4"/>
  <c r="F5" i="4"/>
  <c r="G5" i="4"/>
  <c r="G4" i="4"/>
  <c r="F4" i="4"/>
  <c r="G14" i="4"/>
  <c r="F14" i="4"/>
  <c r="G13" i="4"/>
  <c r="F13" i="4"/>
  <c r="G9" i="4"/>
  <c r="F9" i="4"/>
  <c r="G10" i="4"/>
  <c r="F10" i="4"/>
  <c r="G7" i="3"/>
  <c r="F7" i="3"/>
  <c r="G10" i="3"/>
  <c r="F10" i="3"/>
  <c r="G11" i="3"/>
  <c r="F11" i="3"/>
  <c r="G6" i="3"/>
  <c r="F6" i="3"/>
  <c r="G14" i="3"/>
  <c r="G4" i="3"/>
  <c r="F4" i="3"/>
  <c r="F14" i="3"/>
  <c r="G8" i="3"/>
  <c r="F8" i="3"/>
  <c r="G12" i="3"/>
  <c r="F12" i="3"/>
  <c r="F15" i="3"/>
  <c r="G9" i="3"/>
  <c r="F9" i="3"/>
  <c r="G13" i="3"/>
  <c r="F13" i="3"/>
  <c r="G5" i="3"/>
  <c r="G15" i="3"/>
  <c r="F5" i="3"/>
  <c r="G9" i="2"/>
  <c r="F9" i="2"/>
  <c r="G16" i="2"/>
  <c r="F16" i="2"/>
  <c r="G5" i="2"/>
  <c r="F5" i="2"/>
  <c r="G17" i="2"/>
  <c r="F17" i="2"/>
  <c r="G7" i="2"/>
  <c r="F7" i="2"/>
  <c r="G21" i="2"/>
  <c r="G10" i="2" l="1"/>
  <c r="F10" i="2"/>
  <c r="F21" i="2"/>
  <c r="G20" i="2"/>
  <c r="F20" i="2"/>
  <c r="G18" i="2"/>
  <c r="F18" i="2"/>
  <c r="H18" i="2" s="1"/>
  <c r="G19" i="2"/>
  <c r="F19" i="2"/>
  <c r="F4" i="2"/>
  <c r="H4" i="2" s="1"/>
  <c r="G4" i="2"/>
  <c r="G6" i="2"/>
  <c r="F6" i="2"/>
  <c r="H13" i="2"/>
  <c r="H14" i="2"/>
  <c r="F13" i="2"/>
  <c r="G13" i="2"/>
  <c r="F14" i="2"/>
  <c r="G14" i="2"/>
  <c r="H9" i="2"/>
  <c r="G12" i="2"/>
  <c r="F12" i="2"/>
  <c r="G11" i="2"/>
  <c r="F11" i="2"/>
  <c r="G15" i="2"/>
  <c r="F15" i="2"/>
  <c r="F8" i="2"/>
  <c r="G8" i="2"/>
  <c r="H8" i="2"/>
  <c r="H20" i="2"/>
  <c r="H10" i="2"/>
  <c r="H21" i="2"/>
  <c r="H17" i="2"/>
  <c r="H7" i="2"/>
  <c r="H16" i="2"/>
  <c r="H5" i="2"/>
  <c r="H15" i="2"/>
  <c r="F10" i="1"/>
  <c r="F7" i="1"/>
  <c r="H19" i="2" l="1"/>
  <c r="H6" i="2"/>
  <c r="H12" i="2"/>
  <c r="H11" i="2"/>
  <c r="F11" i="1"/>
  <c r="F8" i="1"/>
  <c r="F5" i="1"/>
  <c r="F14" i="1"/>
  <c r="F6" i="1"/>
  <c r="F4" i="1"/>
  <c r="F12" i="1" l="1"/>
  <c r="F9" i="1"/>
  <c r="F13" i="1"/>
</calcChain>
</file>

<file path=xl/sharedStrings.xml><?xml version="1.0" encoding="utf-8"?>
<sst xmlns="http://schemas.openxmlformats.org/spreadsheetml/2006/main" count="200" uniqueCount="96">
  <si>
    <t>Revelwood Santorini</t>
  </si>
  <si>
    <t>Marvin Smink</t>
  </si>
  <si>
    <t>P R Blaq Smash</t>
  </si>
  <si>
    <t>Rina Smit AOR</t>
  </si>
  <si>
    <t>HP Bounce</t>
  </si>
  <si>
    <t>Ashleigh Atwell</t>
  </si>
  <si>
    <t>Adagio Royal Decree</t>
  </si>
  <si>
    <t>Rosalie Evans AOR</t>
  </si>
  <si>
    <t>Royal Ballerina</t>
  </si>
  <si>
    <t>Judy Gronn</t>
  </si>
  <si>
    <t>Lady Desilva</t>
  </si>
  <si>
    <t>Allison O'Neill</t>
  </si>
  <si>
    <t>jaybee Amalie</t>
  </si>
  <si>
    <t>Tracey Lyne AOR</t>
  </si>
  <si>
    <t>Hollingrove Rihanna</t>
  </si>
  <si>
    <t>Debbie Williams</t>
  </si>
  <si>
    <t>Hollingrove Saffron</t>
  </si>
  <si>
    <t>Nicole Vanatta</t>
  </si>
  <si>
    <t>Lakeview Achaicus</t>
  </si>
  <si>
    <t>Champagne Perrier</t>
  </si>
  <si>
    <t>Ashleigh Atwell AOR</t>
  </si>
  <si>
    <t>Heathmont Quiz</t>
  </si>
  <si>
    <t>Danielle Harvey</t>
  </si>
  <si>
    <t>Horse</t>
  </si>
  <si>
    <t>Rider</t>
  </si>
  <si>
    <t>Judge C</t>
  </si>
  <si>
    <t>Placing</t>
  </si>
  <si>
    <t>Bridle no.</t>
  </si>
  <si>
    <t>EA no.</t>
  </si>
  <si>
    <t>Total</t>
  </si>
  <si>
    <t>Diors Hit</t>
  </si>
  <si>
    <t>K P Janz</t>
  </si>
  <si>
    <t> 934</t>
  </si>
  <si>
    <t>Karrum Suraya</t>
  </si>
  <si>
    <t>Willowdene Bowman</t>
  </si>
  <si>
    <t>Graciella</t>
  </si>
  <si>
    <t>Corazon</t>
  </si>
  <si>
    <t>P3069</t>
  </si>
  <si>
    <t>Manobier golden</t>
  </si>
  <si>
    <t>Sorento</t>
  </si>
  <si>
    <t>Sunsation</t>
  </si>
  <si>
    <t>Absolute JP</t>
  </si>
  <si>
    <t>K P Lolita</t>
  </si>
  <si>
    <t>kasperardo Damaskus</t>
  </si>
  <si>
    <t>Miss Matisse</t>
  </si>
  <si>
    <t>Rascalina</t>
  </si>
  <si>
    <t>Heidi Vowles</t>
  </si>
  <si>
    <t>Jenavive Dore</t>
  </si>
  <si>
    <t>Alistair McLean</t>
  </si>
  <si>
    <t>Margie Hepner AOR</t>
  </si>
  <si>
    <t>Tanya Langdon</t>
  </si>
  <si>
    <t>Katerine Weston AOR</t>
  </si>
  <si>
    <t>Rikke Andreasen</t>
  </si>
  <si>
    <t>Leisa Andrusiak AOR</t>
  </si>
  <si>
    <t>Julie Purnell AOR</t>
  </si>
  <si>
    <t>Ashley Gray</t>
  </si>
  <si>
    <t>Holly McMartin</t>
  </si>
  <si>
    <t>Atamedes</t>
  </si>
  <si>
    <t>P3728</t>
  </si>
  <si>
    <t>K P Jedidiah</t>
  </si>
  <si>
    <t>Omniscient</t>
  </si>
  <si>
    <t>Bette Valentine</t>
  </si>
  <si>
    <t>Coldstream vixen</t>
  </si>
  <si>
    <t>Jaybee Artizan</t>
  </si>
  <si>
    <t>L'Amour De Poires</t>
  </si>
  <si>
    <t>Aperitif</t>
  </si>
  <si>
    <t>Simsalabim</t>
  </si>
  <si>
    <t>The All black</t>
  </si>
  <si>
    <t>K P Rose Maree</t>
  </si>
  <si>
    <t>Chris Opray AOR</t>
  </si>
  <si>
    <t>Susan Stewart AOR</t>
  </si>
  <si>
    <t>Inez Musgrove</t>
  </si>
  <si>
    <t>Anna Bolmat AOR</t>
  </si>
  <si>
    <t>Samantha Bray AOR</t>
  </si>
  <si>
    <t>Barb Chapman AOR</t>
  </si>
  <si>
    <t>Lisa Sullivan</t>
  </si>
  <si>
    <t>Pam Hall</t>
  </si>
  <si>
    <t>Janet Mould AOR</t>
  </si>
  <si>
    <t>Hilary McGregor-Potter</t>
  </si>
  <si>
    <t>Retired</t>
  </si>
  <si>
    <t>AOR</t>
  </si>
  <si>
    <t>-</t>
  </si>
  <si>
    <t>Judge C 
Carol Simpson</t>
  </si>
  <si>
    <t>Judge E
Lihla Wyles</t>
  </si>
  <si>
    <t>SCR</t>
  </si>
  <si>
    <t>Judge C
Olwen Kemp</t>
  </si>
  <si>
    <t>Judge E
Sue Beggs</t>
  </si>
  <si>
    <t>Judge C
Linda Goller-Mould</t>
  </si>
  <si>
    <t>Judge C
Sue Beggs</t>
  </si>
  <si>
    <t>Judge E
Olwen Kemp</t>
  </si>
  <si>
    <t>Danielle Harvey AOR</t>
  </si>
  <si>
    <t>Eliminated</t>
  </si>
  <si>
    <t>Jackpot</t>
  </si>
  <si>
    <t>Overall</t>
  </si>
  <si>
    <t>Judge E: Carol Simpson</t>
  </si>
  <si>
    <t>RETIRED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</si>
</sst>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19" xfId="0" applyBorder="1"/>
    <xf numFmtId="0" fontId="0" fillId="0" borderId="20" xfId="0" applyFill="1" applyBorder="1"/>
    <xf numFmtId="0" fontId="0" fillId="0" borderId="21" xfId="0" applyBorder="1"/>
    <xf numFmtId="0" fontId="0" fillId="0" borderId="19" xfId="0" applyBorder="1" applyAlignment="1">
      <alignment wrapText="1"/>
    </xf>
    <xf numFmtId="0" fontId="0" fillId="0" borderId="13" xfId="0" applyFont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2" xfId="0" applyFont="1" applyBorder="1"/>
    <xf numFmtId="164" fontId="0" fillId="0" borderId="2" xfId="0" applyNumberFormat="1" applyFont="1" applyBorder="1"/>
    <xf numFmtId="0" fontId="0" fillId="0" borderId="2" xfId="0" applyFont="1" applyBorder="1" applyAlignment="1">
      <alignment horizontal="right"/>
    </xf>
    <xf numFmtId="0" fontId="0" fillId="0" borderId="7" xfId="0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9" xfId="0" applyFont="1" applyBorder="1"/>
    <xf numFmtId="0" fontId="0" fillId="0" borderId="11" xfId="0" applyFont="1" applyBorder="1" applyAlignment="1">
      <alignment horizontal="right"/>
    </xf>
    <xf numFmtId="0" fontId="0" fillId="0" borderId="12" xfId="0" applyFont="1" applyBorder="1"/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3" borderId="2" xfId="0" applyFont="1" applyFill="1" applyBorder="1"/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3" borderId="1" xfId="0" applyFont="1" applyFill="1" applyBorder="1"/>
    <xf numFmtId="0" fontId="1" fillId="0" borderId="8" xfId="0" applyFont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11" xfId="0" applyFont="1" applyBorder="1"/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0" fillId="0" borderId="15" xfId="0" applyFont="1" applyBorder="1"/>
    <xf numFmtId="164" fontId="0" fillId="0" borderId="15" xfId="0" applyNumberFormat="1" applyFont="1" applyBorder="1"/>
    <xf numFmtId="164" fontId="0" fillId="0" borderId="18" xfId="0" applyNumberFormat="1" applyFont="1" applyBorder="1"/>
    <xf numFmtId="0" fontId="0" fillId="0" borderId="17" xfId="0" applyFont="1" applyBorder="1"/>
    <xf numFmtId="164" fontId="0" fillId="0" borderId="1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21" xfId="0" applyFont="1" applyBorder="1"/>
    <xf numFmtId="0" fontId="0" fillId="0" borderId="19" xfId="0" applyFont="1" applyBorder="1"/>
    <xf numFmtId="0" fontId="0" fillId="0" borderId="19" xfId="0" applyFont="1" applyBorder="1" applyAlignment="1">
      <alignment wrapText="1"/>
    </xf>
    <xf numFmtId="0" fontId="0" fillId="0" borderId="20" xfId="0" applyFont="1" applyFill="1" applyBorder="1"/>
    <xf numFmtId="0" fontId="0" fillId="0" borderId="18" xfId="0" applyFont="1" applyBorder="1"/>
    <xf numFmtId="0" fontId="0" fillId="0" borderId="22" xfId="0" applyFont="1" applyBorder="1"/>
    <xf numFmtId="0" fontId="1" fillId="0" borderId="10" xfId="0" applyFont="1" applyBorder="1" applyAlignment="1">
      <alignment horizontal="right" vertical="center"/>
    </xf>
    <xf numFmtId="164" fontId="0" fillId="0" borderId="0" xfId="0" applyNumberFormat="1" applyFont="1" applyBorder="1"/>
    <xf numFmtId="0" fontId="0" fillId="0" borderId="1" xfId="0" applyBorder="1"/>
    <xf numFmtId="164" fontId="0" fillId="0" borderId="23" xfId="0" applyNumberFormat="1" applyFont="1" applyBorder="1"/>
    <xf numFmtId="0" fontId="0" fillId="0" borderId="9" xfId="0" applyBorder="1"/>
    <xf numFmtId="164" fontId="0" fillId="0" borderId="11" xfId="0" applyNumberFormat="1" applyFont="1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24" xfId="0" applyFill="1" applyBorder="1"/>
    <xf numFmtId="0" fontId="0" fillId="0" borderId="24" xfId="0" applyFill="1" applyBorder="1" applyAlignment="1">
      <alignment horizontal="center"/>
    </xf>
    <xf numFmtId="164" fontId="0" fillId="0" borderId="24" xfId="0" applyNumberFormat="1" applyFont="1" applyFill="1" applyBorder="1"/>
    <xf numFmtId="164" fontId="1" fillId="0" borderId="1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0" fontId="0" fillId="0" borderId="2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zoomScaleNormal="100" workbookViewId="0">
      <selection activeCell="L6" sqref="L6"/>
    </sheetView>
  </sheetViews>
  <sheetFormatPr defaultRowHeight="15" x14ac:dyDescent="0.25"/>
  <cols>
    <col min="3" max="3" width="20.140625" customWidth="1"/>
    <col min="4" max="4" width="11.42578125" customWidth="1"/>
    <col min="5" max="5" width="22.85546875" customWidth="1"/>
    <col min="6" max="6" width="15.28515625" customWidth="1"/>
    <col min="7" max="7" width="13.85546875" customWidth="1"/>
  </cols>
  <sheetData>
    <row r="1" spans="2:8" ht="15.75" thickBot="1" x14ac:dyDescent="0.3">
      <c r="B1" s="2">
        <v>1.2</v>
      </c>
      <c r="C1" s="2"/>
      <c r="D1" s="2"/>
      <c r="E1" s="2"/>
      <c r="F1" s="2"/>
      <c r="G1" s="2"/>
    </row>
    <row r="2" spans="2:8" ht="15.75" thickBot="1" x14ac:dyDescent="0.3"/>
    <row r="3" spans="2:8" ht="15.75" thickBot="1" x14ac:dyDescent="0.3">
      <c r="B3" s="7" t="s">
        <v>27</v>
      </c>
      <c r="C3" s="8" t="s">
        <v>23</v>
      </c>
      <c r="D3" s="8" t="s">
        <v>28</v>
      </c>
      <c r="E3" s="8" t="s">
        <v>24</v>
      </c>
      <c r="F3" s="8" t="s">
        <v>25</v>
      </c>
      <c r="G3" s="8" t="s">
        <v>26</v>
      </c>
      <c r="H3" s="9" t="s">
        <v>80</v>
      </c>
    </row>
    <row r="4" spans="2:8" x14ac:dyDescent="0.25">
      <c r="B4" s="20">
        <v>63</v>
      </c>
      <c r="C4" s="21" t="s">
        <v>8</v>
      </c>
      <c r="D4" s="22">
        <v>30502398</v>
      </c>
      <c r="E4" s="10" t="s">
        <v>9</v>
      </c>
      <c r="F4" s="11">
        <f>184/260*100</f>
        <v>70.769230769230774</v>
      </c>
      <c r="G4" s="12">
        <v>1</v>
      </c>
      <c r="H4" s="13"/>
    </row>
    <row r="5" spans="2:8" x14ac:dyDescent="0.25">
      <c r="B5" s="23">
        <v>934</v>
      </c>
      <c r="C5" s="24" t="s">
        <v>19</v>
      </c>
      <c r="D5" s="25">
        <v>30502225</v>
      </c>
      <c r="E5" s="14" t="s">
        <v>20</v>
      </c>
      <c r="F5" s="15">
        <f>183.5/260*100</f>
        <v>70.57692307692308</v>
      </c>
      <c r="G5" s="16">
        <v>2</v>
      </c>
      <c r="H5" s="17">
        <v>1</v>
      </c>
    </row>
    <row r="6" spans="2:8" x14ac:dyDescent="0.25">
      <c r="B6" s="26">
        <v>1680</v>
      </c>
      <c r="C6" s="24" t="s">
        <v>16</v>
      </c>
      <c r="D6" s="14">
        <v>30502253</v>
      </c>
      <c r="E6" s="14" t="s">
        <v>17</v>
      </c>
      <c r="F6" s="15">
        <f>182.5/260*100</f>
        <v>70.192307692307693</v>
      </c>
      <c r="G6" s="16">
        <v>3</v>
      </c>
      <c r="H6" s="17"/>
    </row>
    <row r="7" spans="2:8" x14ac:dyDescent="0.25">
      <c r="B7" s="27">
        <v>2610</v>
      </c>
      <c r="C7" s="28" t="s">
        <v>21</v>
      </c>
      <c r="D7" s="14">
        <v>60004321</v>
      </c>
      <c r="E7" s="14" t="s">
        <v>90</v>
      </c>
      <c r="F7" s="15">
        <f>179.5/260*100</f>
        <v>69.038461538461533</v>
      </c>
      <c r="G7" s="16">
        <v>4</v>
      </c>
      <c r="H7" s="17">
        <v>2</v>
      </c>
    </row>
    <row r="8" spans="2:8" x14ac:dyDescent="0.25">
      <c r="B8" s="29">
        <v>3477</v>
      </c>
      <c r="C8" s="28" t="s">
        <v>10</v>
      </c>
      <c r="D8" s="25">
        <v>30500436</v>
      </c>
      <c r="E8" s="24" t="s">
        <v>11</v>
      </c>
      <c r="F8" s="15">
        <f>177/260*100</f>
        <v>68.07692307692308</v>
      </c>
      <c r="G8" s="14">
        <v>5</v>
      </c>
      <c r="H8" s="17"/>
    </row>
    <row r="9" spans="2:8" x14ac:dyDescent="0.25">
      <c r="B9" s="29">
        <v>2825</v>
      </c>
      <c r="C9" s="28" t="s">
        <v>4</v>
      </c>
      <c r="D9" s="14">
        <v>30046745</v>
      </c>
      <c r="E9" s="14" t="s">
        <v>5</v>
      </c>
      <c r="F9" s="15">
        <f>175/260*100</f>
        <v>67.307692307692307</v>
      </c>
      <c r="G9" s="16">
        <v>6</v>
      </c>
      <c r="H9" s="17"/>
    </row>
    <row r="10" spans="2:8" x14ac:dyDescent="0.25">
      <c r="B10" s="29">
        <v>3070</v>
      </c>
      <c r="C10" s="28" t="s">
        <v>14</v>
      </c>
      <c r="D10" s="14">
        <v>30047092</v>
      </c>
      <c r="E10" s="14" t="s">
        <v>15</v>
      </c>
      <c r="F10" s="15">
        <f>171.5/260*100</f>
        <v>65.961538461538467</v>
      </c>
      <c r="G10" s="16">
        <v>7</v>
      </c>
      <c r="H10" s="17"/>
    </row>
    <row r="11" spans="2:8" x14ac:dyDescent="0.25">
      <c r="B11" s="26">
        <v>246</v>
      </c>
      <c r="C11" s="24" t="s">
        <v>18</v>
      </c>
      <c r="D11" s="14">
        <v>60005416</v>
      </c>
      <c r="E11" s="14" t="s">
        <v>1</v>
      </c>
      <c r="F11" s="15">
        <f>170/260*100</f>
        <v>65.384615384615387</v>
      </c>
      <c r="G11" s="16">
        <v>8</v>
      </c>
      <c r="H11" s="17"/>
    </row>
    <row r="12" spans="2:8" x14ac:dyDescent="0.25">
      <c r="B12" s="23"/>
      <c r="C12" s="24" t="s">
        <v>6</v>
      </c>
      <c r="D12" s="14">
        <v>30501895</v>
      </c>
      <c r="E12" s="14" t="s">
        <v>7</v>
      </c>
      <c r="F12" s="15">
        <f>169/260*100</f>
        <v>65</v>
      </c>
      <c r="G12" s="16">
        <v>9</v>
      </c>
      <c r="H12" s="17">
        <v>3</v>
      </c>
    </row>
    <row r="13" spans="2:8" x14ac:dyDescent="0.25">
      <c r="B13" s="26">
        <v>3227</v>
      </c>
      <c r="C13" s="24" t="s">
        <v>2</v>
      </c>
      <c r="D13" s="14">
        <v>30500195</v>
      </c>
      <c r="E13" s="14" t="s">
        <v>3</v>
      </c>
      <c r="F13" s="15">
        <f>167.5/260*100</f>
        <v>64.423076923076934</v>
      </c>
      <c r="G13" s="16">
        <v>10</v>
      </c>
      <c r="H13" s="17">
        <v>4</v>
      </c>
    </row>
    <row r="14" spans="2:8" x14ac:dyDescent="0.25">
      <c r="B14" s="29">
        <v>2745</v>
      </c>
      <c r="C14" s="28" t="s">
        <v>12</v>
      </c>
      <c r="D14" s="25">
        <v>30046586</v>
      </c>
      <c r="E14" s="14" t="s">
        <v>13</v>
      </c>
      <c r="F14" s="15">
        <f>162/260*100</f>
        <v>62.307692307692307</v>
      </c>
      <c r="G14" s="16">
        <v>11</v>
      </c>
      <c r="H14" s="17">
        <v>5</v>
      </c>
    </row>
    <row r="15" spans="2:8" ht="15.75" thickBot="1" x14ac:dyDescent="0.3">
      <c r="B15" s="30"/>
      <c r="C15" s="31" t="s">
        <v>0</v>
      </c>
      <c r="D15" s="32"/>
      <c r="E15" s="33" t="s">
        <v>1</v>
      </c>
      <c r="F15" s="18" t="s">
        <v>79</v>
      </c>
      <c r="G15" s="18" t="s">
        <v>81</v>
      </c>
      <c r="H15" s="19"/>
    </row>
  </sheetData>
  <sortState ref="B4:H15">
    <sortCondition descending="1" ref="F4:F15"/>
  </sortState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topLeftCell="A3" workbookViewId="0">
      <selection activeCell="L7" sqref="B7:L7"/>
    </sheetView>
  </sheetViews>
  <sheetFormatPr defaultRowHeight="15" x14ac:dyDescent="0.25"/>
  <cols>
    <col min="3" max="3" width="21.140625" customWidth="1"/>
    <col min="4" max="4" width="12.140625" customWidth="1"/>
    <col min="5" max="5" width="20.85546875" customWidth="1"/>
    <col min="6" max="9" width="13.85546875" customWidth="1"/>
  </cols>
  <sheetData>
    <row r="1" spans="2:12" ht="15.75" thickBot="1" x14ac:dyDescent="0.3">
      <c r="B1" s="2">
        <v>2.2000000000000002</v>
      </c>
      <c r="C1" s="2"/>
      <c r="D1" s="2"/>
      <c r="E1" s="2"/>
      <c r="F1" s="2"/>
      <c r="G1" s="2"/>
      <c r="H1" s="2"/>
      <c r="I1" s="2"/>
      <c r="J1" s="2"/>
      <c r="K1" s="1"/>
      <c r="L1" s="1"/>
    </row>
    <row r="2" spans="2:12" ht="15.75" thickBot="1" x14ac:dyDescent="0.3"/>
    <row r="3" spans="2:12" ht="30.75" thickBot="1" x14ac:dyDescent="0.3">
      <c r="B3" s="5" t="s">
        <v>27</v>
      </c>
      <c r="C3" s="3" t="s">
        <v>23</v>
      </c>
      <c r="D3" s="3" t="s">
        <v>28</v>
      </c>
      <c r="E3" s="3" t="s">
        <v>24</v>
      </c>
      <c r="F3" s="6" t="s">
        <v>82</v>
      </c>
      <c r="G3" s="6" t="s">
        <v>83</v>
      </c>
      <c r="H3" s="3" t="s">
        <v>29</v>
      </c>
      <c r="I3" s="3" t="s">
        <v>26</v>
      </c>
      <c r="J3" s="4" t="s">
        <v>80</v>
      </c>
      <c r="K3" s="58" t="s">
        <v>92</v>
      </c>
      <c r="L3" s="54" t="s">
        <v>93</v>
      </c>
    </row>
    <row r="4" spans="2:12" x14ac:dyDescent="0.25">
      <c r="B4" s="20">
        <v>1672</v>
      </c>
      <c r="C4" s="21" t="s">
        <v>42</v>
      </c>
      <c r="D4" s="10">
        <v>30502179</v>
      </c>
      <c r="E4" s="21" t="s">
        <v>1</v>
      </c>
      <c r="F4" s="11">
        <f>241/350*100</f>
        <v>68.857142857142861</v>
      </c>
      <c r="G4" s="11">
        <f>249.5/350*100</f>
        <v>71.285714285714292</v>
      </c>
      <c r="H4" s="51">
        <f>(F4+G4)/2</f>
        <v>70.071428571428584</v>
      </c>
      <c r="I4" s="10">
        <v>1</v>
      </c>
      <c r="J4" s="13"/>
      <c r="K4" s="55">
        <v>30</v>
      </c>
      <c r="L4" s="55">
        <v>60</v>
      </c>
    </row>
    <row r="5" spans="2:12" x14ac:dyDescent="0.25">
      <c r="B5" s="26">
        <v>3336</v>
      </c>
      <c r="C5" s="24" t="s">
        <v>45</v>
      </c>
      <c r="D5" s="14">
        <v>3105590</v>
      </c>
      <c r="E5" s="24" t="s">
        <v>56</v>
      </c>
      <c r="F5" s="15">
        <f>233.5/350*100</f>
        <v>66.714285714285708</v>
      </c>
      <c r="G5" s="15">
        <f>243/350*100</f>
        <v>69.428571428571431</v>
      </c>
      <c r="H5" s="38">
        <f>(F5+G5)/2</f>
        <v>68.071428571428569</v>
      </c>
      <c r="I5" s="14">
        <v>2</v>
      </c>
      <c r="J5" s="17"/>
      <c r="K5" s="55">
        <v>29</v>
      </c>
      <c r="L5" s="55">
        <v>53</v>
      </c>
    </row>
    <row r="6" spans="2:12" x14ac:dyDescent="0.25">
      <c r="B6" s="26">
        <v>598</v>
      </c>
      <c r="C6" s="24" t="s">
        <v>34</v>
      </c>
      <c r="D6" s="14">
        <v>60005923</v>
      </c>
      <c r="E6" s="24" t="s">
        <v>48</v>
      </c>
      <c r="F6" s="15">
        <f>225.5/350*100</f>
        <v>64.428571428571431</v>
      </c>
      <c r="G6" s="15">
        <f>239/350*100</f>
        <v>68.285714285714278</v>
      </c>
      <c r="H6" s="38">
        <f>(F6+G6)/2</f>
        <v>66.357142857142861</v>
      </c>
      <c r="I6" s="14">
        <v>3</v>
      </c>
      <c r="J6" s="17"/>
      <c r="K6" s="55">
        <v>28</v>
      </c>
      <c r="L6" s="55">
        <v>53</v>
      </c>
    </row>
    <row r="7" spans="2:12" x14ac:dyDescent="0.25">
      <c r="B7" s="26">
        <v>1085</v>
      </c>
      <c r="C7" s="24" t="s">
        <v>43</v>
      </c>
      <c r="D7" s="14">
        <v>60003685</v>
      </c>
      <c r="E7" s="24" t="s">
        <v>48</v>
      </c>
      <c r="F7" s="15">
        <f>224/350*100</f>
        <v>64</v>
      </c>
      <c r="G7" s="15">
        <f>238/350*100</f>
        <v>68</v>
      </c>
      <c r="H7" s="38">
        <f>(F7+G7)/2</f>
        <v>66</v>
      </c>
      <c r="I7" s="14">
        <v>4</v>
      </c>
      <c r="J7" s="17"/>
      <c r="K7" s="56">
        <v>27</v>
      </c>
      <c r="L7" s="56">
        <v>55</v>
      </c>
    </row>
    <row r="8" spans="2:12" x14ac:dyDescent="0.25">
      <c r="B8" s="26">
        <v>3227</v>
      </c>
      <c r="C8" s="24" t="s">
        <v>2</v>
      </c>
      <c r="D8" s="14">
        <v>30500195</v>
      </c>
      <c r="E8" s="24" t="s">
        <v>3</v>
      </c>
      <c r="F8" s="15">
        <f>220/350*100</f>
        <v>62.857142857142854</v>
      </c>
      <c r="G8" s="15">
        <f>230/350*100</f>
        <v>65.714285714285708</v>
      </c>
      <c r="H8" s="38">
        <f>(F8+G8)/2</f>
        <v>64.285714285714278</v>
      </c>
      <c r="I8" s="14">
        <v>5</v>
      </c>
      <c r="J8" s="17">
        <v>1</v>
      </c>
      <c r="K8" s="56">
        <v>26</v>
      </c>
      <c r="L8" s="56">
        <v>26</v>
      </c>
    </row>
    <row r="9" spans="2:12" x14ac:dyDescent="0.25">
      <c r="B9" s="23">
        <v>4225</v>
      </c>
      <c r="C9" s="24" t="s">
        <v>31</v>
      </c>
      <c r="D9" s="14">
        <v>30502261</v>
      </c>
      <c r="E9" s="24" t="s">
        <v>1</v>
      </c>
      <c r="F9" s="40">
        <f>226/350*100</f>
        <v>64.571428571428569</v>
      </c>
      <c r="G9" s="40">
        <f>222/350*100</f>
        <v>63.428571428571423</v>
      </c>
      <c r="H9" s="38">
        <f>(F9+G9)/2</f>
        <v>64</v>
      </c>
      <c r="I9" s="14">
        <v>6</v>
      </c>
      <c r="J9" s="17"/>
      <c r="K9" s="56">
        <v>25</v>
      </c>
      <c r="L9" s="56">
        <v>54</v>
      </c>
    </row>
    <row r="10" spans="2:12" x14ac:dyDescent="0.25">
      <c r="B10" s="26">
        <v>3955</v>
      </c>
      <c r="C10" s="24" t="s">
        <v>39</v>
      </c>
      <c r="D10" s="14">
        <v>30501563</v>
      </c>
      <c r="E10" s="24" t="s">
        <v>52</v>
      </c>
      <c r="F10" s="15">
        <f>223/350*100</f>
        <v>63.714285714285715</v>
      </c>
      <c r="G10" s="15">
        <f>224/350*100</f>
        <v>64</v>
      </c>
      <c r="H10" s="38">
        <f>(F10+G10)/2</f>
        <v>63.857142857142861</v>
      </c>
      <c r="I10" s="14">
        <v>7</v>
      </c>
      <c r="J10" s="17"/>
      <c r="K10" s="56">
        <v>24</v>
      </c>
      <c r="L10" s="55"/>
    </row>
    <row r="11" spans="2:12" x14ac:dyDescent="0.25">
      <c r="B11" s="26">
        <v>3238</v>
      </c>
      <c r="C11" s="24" t="s">
        <v>30</v>
      </c>
      <c r="D11" s="14">
        <v>30047390</v>
      </c>
      <c r="E11" s="24" t="s">
        <v>46</v>
      </c>
      <c r="F11" s="15">
        <f>229/350*100</f>
        <v>65.428571428571431</v>
      </c>
      <c r="G11" s="49">
        <f>215/350*100</f>
        <v>61.428571428571431</v>
      </c>
      <c r="H11" s="38">
        <f>(F11+G11)/2</f>
        <v>63.428571428571431</v>
      </c>
      <c r="I11" s="14">
        <v>8</v>
      </c>
      <c r="J11" s="17"/>
      <c r="K11" s="56">
        <v>23</v>
      </c>
      <c r="L11" s="56">
        <v>50</v>
      </c>
    </row>
    <row r="12" spans="2:12" x14ac:dyDescent="0.25">
      <c r="B12" s="29" t="s">
        <v>32</v>
      </c>
      <c r="C12" s="28" t="s">
        <v>19</v>
      </c>
      <c r="D12" s="25">
        <v>30502225</v>
      </c>
      <c r="E12" s="24" t="s">
        <v>20</v>
      </c>
      <c r="F12" s="15">
        <f>221.5/350*100</f>
        <v>63.285714285714292</v>
      </c>
      <c r="G12" s="15">
        <f>216/350*100</f>
        <v>61.714285714285708</v>
      </c>
      <c r="H12" s="38">
        <f>(F12+G12)/2</f>
        <v>62.5</v>
      </c>
      <c r="I12" s="14">
        <v>9</v>
      </c>
      <c r="J12" s="17">
        <v>2</v>
      </c>
      <c r="K12" s="56">
        <v>22</v>
      </c>
      <c r="L12" s="55"/>
    </row>
    <row r="13" spans="2:12" x14ac:dyDescent="0.25">
      <c r="B13" s="26">
        <v>384</v>
      </c>
      <c r="C13" s="24" t="s">
        <v>33</v>
      </c>
      <c r="D13" s="14">
        <v>60005278</v>
      </c>
      <c r="E13" s="24" t="s">
        <v>47</v>
      </c>
      <c r="F13" s="15">
        <f>212.5/350*100</f>
        <v>60.714285714285708</v>
      </c>
      <c r="G13" s="15">
        <f>216.5/350*100</f>
        <v>61.857142857142854</v>
      </c>
      <c r="H13" s="38">
        <f>(F13+G13)/2</f>
        <v>61.285714285714278</v>
      </c>
      <c r="I13" s="14">
        <v>10</v>
      </c>
      <c r="J13" s="17"/>
      <c r="K13" s="56">
        <v>21</v>
      </c>
      <c r="L13" s="55"/>
    </row>
    <row r="14" spans="2:12" x14ac:dyDescent="0.25">
      <c r="B14" s="26">
        <v>3070</v>
      </c>
      <c r="C14" s="24" t="s">
        <v>14</v>
      </c>
      <c r="D14" s="14">
        <v>30047092</v>
      </c>
      <c r="E14" s="24" t="s">
        <v>15</v>
      </c>
      <c r="F14" s="15">
        <f>211/350*100</f>
        <v>60.285714285714285</v>
      </c>
      <c r="G14" s="15">
        <f>210.5/350*100</f>
        <v>60.142857142857139</v>
      </c>
      <c r="H14" s="38">
        <f>(F14+G14)/2</f>
        <v>60.214285714285708</v>
      </c>
      <c r="I14" s="14">
        <v>11</v>
      </c>
      <c r="J14" s="17"/>
      <c r="K14" s="56">
        <v>20</v>
      </c>
      <c r="L14" s="55"/>
    </row>
    <row r="15" spans="2:12" x14ac:dyDescent="0.25">
      <c r="B15" s="26">
        <v>2745</v>
      </c>
      <c r="C15" s="24" t="s">
        <v>12</v>
      </c>
      <c r="D15" s="25">
        <v>30046586</v>
      </c>
      <c r="E15" s="24" t="s">
        <v>13</v>
      </c>
      <c r="F15" s="15">
        <f>215/350*100</f>
        <v>61.428571428571431</v>
      </c>
      <c r="G15" s="15">
        <f>202/350*100</f>
        <v>57.714285714285715</v>
      </c>
      <c r="H15" s="38">
        <f>(F15+G15)/2</f>
        <v>59.571428571428569</v>
      </c>
      <c r="I15" s="14">
        <v>12</v>
      </c>
      <c r="J15" s="17">
        <v>3</v>
      </c>
      <c r="K15" s="56">
        <v>19</v>
      </c>
      <c r="L15" s="55"/>
    </row>
    <row r="16" spans="2:12" x14ac:dyDescent="0.25">
      <c r="B16" s="26">
        <v>3528</v>
      </c>
      <c r="C16" s="24" t="s">
        <v>44</v>
      </c>
      <c r="D16" s="14">
        <v>30400499</v>
      </c>
      <c r="E16" s="24" t="s">
        <v>55</v>
      </c>
      <c r="F16" s="15">
        <f>210.5/350*100</f>
        <v>60.142857142857139</v>
      </c>
      <c r="G16" s="15">
        <f>201.5/350*100</f>
        <v>57.571428571428577</v>
      </c>
      <c r="H16" s="38">
        <f>(F16+G16)/2</f>
        <v>58.857142857142861</v>
      </c>
      <c r="I16" s="14">
        <v>13</v>
      </c>
      <c r="J16" s="17"/>
      <c r="K16" s="56">
        <v>18</v>
      </c>
      <c r="L16" s="55"/>
    </row>
    <row r="17" spans="2:12" x14ac:dyDescent="0.25">
      <c r="B17" s="26">
        <v>2825</v>
      </c>
      <c r="C17" s="24" t="s">
        <v>4</v>
      </c>
      <c r="D17" s="14">
        <v>30046745</v>
      </c>
      <c r="E17" s="24" t="s">
        <v>5</v>
      </c>
      <c r="F17" s="15">
        <f>220/350*100</f>
        <v>62.857142857142854</v>
      </c>
      <c r="G17" s="15">
        <f>190.5/350*100</f>
        <v>54.428571428571423</v>
      </c>
      <c r="H17" s="38">
        <f>(F17+G17)/2</f>
        <v>58.642857142857139</v>
      </c>
      <c r="I17" s="14">
        <v>14</v>
      </c>
      <c r="J17" s="17"/>
      <c r="K17" s="56">
        <v>17</v>
      </c>
      <c r="L17" s="55"/>
    </row>
    <row r="18" spans="2:12" x14ac:dyDescent="0.25">
      <c r="B18" s="26">
        <v>2956</v>
      </c>
      <c r="C18" s="24" t="s">
        <v>36</v>
      </c>
      <c r="D18" s="14">
        <v>30046924</v>
      </c>
      <c r="E18" s="24" t="s">
        <v>50</v>
      </c>
      <c r="F18" s="40">
        <f>205/350*100</f>
        <v>58.571428571428577</v>
      </c>
      <c r="G18" s="15">
        <f>200/350*100</f>
        <v>57.142857142857139</v>
      </c>
      <c r="H18" s="38">
        <f>(F18+G18)/2</f>
        <v>57.857142857142861</v>
      </c>
      <c r="I18" s="14">
        <v>15</v>
      </c>
      <c r="J18" s="17"/>
      <c r="K18" s="56">
        <v>16</v>
      </c>
      <c r="L18" s="55"/>
    </row>
    <row r="19" spans="2:12" x14ac:dyDescent="0.25">
      <c r="B19" s="26">
        <v>3797</v>
      </c>
      <c r="C19" s="24" t="s">
        <v>35</v>
      </c>
      <c r="D19" s="14">
        <v>30501164</v>
      </c>
      <c r="E19" s="24" t="s">
        <v>49</v>
      </c>
      <c r="F19" s="15">
        <f>198.5/350*100</f>
        <v>56.714285714285715</v>
      </c>
      <c r="G19" s="15">
        <f>198.5/350*100</f>
        <v>56.714285714285715</v>
      </c>
      <c r="H19" s="38">
        <f>(F19+G19)/2</f>
        <v>56.714285714285715</v>
      </c>
      <c r="I19" s="14">
        <v>16</v>
      </c>
      <c r="J19" s="17">
        <v>4</v>
      </c>
      <c r="K19" s="56">
        <v>15</v>
      </c>
      <c r="L19" s="55"/>
    </row>
    <row r="20" spans="2:12" x14ac:dyDescent="0.25">
      <c r="B20" s="26" t="s">
        <v>37</v>
      </c>
      <c r="C20" s="24" t="s">
        <v>38</v>
      </c>
      <c r="D20" s="14">
        <v>30047099</v>
      </c>
      <c r="E20" s="24" t="s">
        <v>51</v>
      </c>
      <c r="F20" s="15">
        <f>197.5/350*100</f>
        <v>56.428571428571431</v>
      </c>
      <c r="G20" s="15">
        <f>199/350*100</f>
        <v>56.857142857142861</v>
      </c>
      <c r="H20" s="38">
        <f>(F20+G20)/2</f>
        <v>56.642857142857146</v>
      </c>
      <c r="I20" s="14">
        <v>17</v>
      </c>
      <c r="J20" s="17">
        <v>5</v>
      </c>
      <c r="K20" s="56">
        <v>14</v>
      </c>
      <c r="L20" s="55"/>
    </row>
    <row r="21" spans="2:12" x14ac:dyDescent="0.25">
      <c r="B21" s="26">
        <v>2719</v>
      </c>
      <c r="C21" s="24" t="s">
        <v>40</v>
      </c>
      <c r="D21" s="14">
        <v>30046520</v>
      </c>
      <c r="E21" s="24" t="s">
        <v>53</v>
      </c>
      <c r="F21" s="15">
        <f>194.5/350*100</f>
        <v>55.571428571428569</v>
      </c>
      <c r="G21" s="15">
        <f>193/350*100</f>
        <v>55.142857142857139</v>
      </c>
      <c r="H21" s="38">
        <f>(F21+G21)/2</f>
        <v>55.357142857142854</v>
      </c>
      <c r="I21" s="14">
        <v>18</v>
      </c>
      <c r="J21" s="17">
        <v>6</v>
      </c>
      <c r="K21" s="56">
        <v>13</v>
      </c>
      <c r="L21" s="55"/>
    </row>
    <row r="22" spans="2:12" x14ac:dyDescent="0.25">
      <c r="B22" s="23">
        <v>2610</v>
      </c>
      <c r="C22" s="24" t="s">
        <v>21</v>
      </c>
      <c r="D22" s="14">
        <v>60004321</v>
      </c>
      <c r="E22" s="24" t="s">
        <v>22</v>
      </c>
      <c r="F22" s="15"/>
      <c r="G22" s="15"/>
      <c r="H22" s="38" t="s">
        <v>84</v>
      </c>
      <c r="I22" s="14"/>
      <c r="J22" s="17"/>
      <c r="K22" s="55"/>
      <c r="L22" s="55"/>
    </row>
    <row r="23" spans="2:12" x14ac:dyDescent="0.25">
      <c r="B23" s="26">
        <v>2974</v>
      </c>
      <c r="C23" s="24" t="s">
        <v>41</v>
      </c>
      <c r="D23" s="14">
        <v>30046952</v>
      </c>
      <c r="E23" s="24" t="s">
        <v>54</v>
      </c>
      <c r="F23" s="15"/>
      <c r="G23" s="15"/>
      <c r="H23" s="15" t="s">
        <v>91</v>
      </c>
      <c r="I23" s="50"/>
      <c r="J23" s="52"/>
      <c r="K23" s="1"/>
      <c r="L23" s="1"/>
    </row>
    <row r="24" spans="2:12" ht="15.75" thickBot="1" x14ac:dyDescent="0.3">
      <c r="B24" s="30"/>
      <c r="C24" s="33" t="s">
        <v>6</v>
      </c>
      <c r="D24" s="32">
        <v>30501895</v>
      </c>
      <c r="E24" s="33" t="s">
        <v>7</v>
      </c>
      <c r="F24" s="32"/>
      <c r="G24" s="32"/>
      <c r="H24" s="41" t="s">
        <v>84</v>
      </c>
      <c r="I24" s="32"/>
      <c r="J24" s="19"/>
      <c r="K24" s="55"/>
      <c r="L24" s="55"/>
    </row>
  </sheetData>
  <sortState ref="B4:J21">
    <sortCondition descending="1" ref="H4:H21"/>
  </sortState>
  <pageMargins left="0.7" right="0.7" top="0.75" bottom="0.75" header="0.3" footer="0.3"/>
  <pageSetup scale="89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"/>
  <sheetViews>
    <sheetView workbookViewId="0">
      <selection activeCell="D15" sqref="D15"/>
    </sheetView>
  </sheetViews>
  <sheetFormatPr defaultRowHeight="15" x14ac:dyDescent="0.25"/>
  <cols>
    <col min="3" max="3" width="20.140625" customWidth="1"/>
    <col min="4" max="4" width="11.7109375" customWidth="1"/>
    <col min="5" max="5" width="20.28515625" customWidth="1"/>
    <col min="6" max="9" width="13.85546875" customWidth="1"/>
  </cols>
  <sheetData>
    <row r="1" spans="2:11" ht="15.75" thickBot="1" x14ac:dyDescent="0.3">
      <c r="B1" s="2">
        <v>2.2999999999999998</v>
      </c>
      <c r="C1" s="2"/>
      <c r="D1" s="2"/>
      <c r="E1" s="2"/>
      <c r="F1" s="2"/>
      <c r="G1" s="2"/>
      <c r="H1" s="2"/>
      <c r="I1" s="2"/>
      <c r="J1" s="2"/>
    </row>
    <row r="2" spans="2:11" ht="15.75" thickBot="1" x14ac:dyDescent="0.3"/>
    <row r="3" spans="2:11" ht="30.75" thickBot="1" x14ac:dyDescent="0.3">
      <c r="B3" s="42" t="s">
        <v>27</v>
      </c>
      <c r="C3" s="43" t="s">
        <v>23</v>
      </c>
      <c r="D3" s="43" t="s">
        <v>28</v>
      </c>
      <c r="E3" s="43" t="s">
        <v>24</v>
      </c>
      <c r="F3" s="44" t="s">
        <v>85</v>
      </c>
      <c r="G3" s="44" t="s">
        <v>86</v>
      </c>
      <c r="H3" s="43" t="s">
        <v>29</v>
      </c>
      <c r="I3" s="43" t="s">
        <v>26</v>
      </c>
      <c r="J3" s="45" t="s">
        <v>80</v>
      </c>
      <c r="K3" t="s">
        <v>92</v>
      </c>
    </row>
    <row r="4" spans="2:11" x14ac:dyDescent="0.25">
      <c r="B4" s="34">
        <v>1672</v>
      </c>
      <c r="C4" s="35" t="s">
        <v>42</v>
      </c>
      <c r="D4" s="36">
        <v>30502179</v>
      </c>
      <c r="E4" s="35" t="s">
        <v>1</v>
      </c>
      <c r="F4" s="37">
        <f>205.5/290*100</f>
        <v>70.862068965517238</v>
      </c>
      <c r="G4" s="37">
        <f>222/290*100</f>
        <v>76.551724137931032</v>
      </c>
      <c r="H4" s="37">
        <v>73.706999999999994</v>
      </c>
      <c r="I4" s="46">
        <v>1</v>
      </c>
      <c r="J4" s="39"/>
      <c r="K4">
        <v>30</v>
      </c>
    </row>
    <row r="5" spans="2:11" x14ac:dyDescent="0.25">
      <c r="B5" s="23">
        <v>4225</v>
      </c>
      <c r="C5" s="24" t="s">
        <v>31</v>
      </c>
      <c r="D5" s="14">
        <v>30502261</v>
      </c>
      <c r="E5" s="24" t="s">
        <v>1</v>
      </c>
      <c r="F5" s="15">
        <f>204/290*100</f>
        <v>70.34482758620689</v>
      </c>
      <c r="G5" s="15">
        <f>210/290*100</f>
        <v>72.41379310344827</v>
      </c>
      <c r="H5" s="15">
        <v>71.38</v>
      </c>
      <c r="I5" s="47">
        <v>2</v>
      </c>
      <c r="J5" s="17"/>
      <c r="K5">
        <v>29</v>
      </c>
    </row>
    <row r="6" spans="2:11" x14ac:dyDescent="0.25">
      <c r="B6" s="26">
        <v>1085</v>
      </c>
      <c r="C6" s="24" t="s">
        <v>43</v>
      </c>
      <c r="D6" s="14">
        <v>60003685</v>
      </c>
      <c r="E6" s="24" t="s">
        <v>48</v>
      </c>
      <c r="F6" s="15">
        <f>202.5/290*100</f>
        <v>69.827586206896555</v>
      </c>
      <c r="G6" s="15">
        <f>209.5/290*100</f>
        <v>72.241379310344826</v>
      </c>
      <c r="H6" s="15">
        <v>71.034999999999997</v>
      </c>
      <c r="I6" s="47">
        <v>3</v>
      </c>
      <c r="J6" s="17"/>
      <c r="K6">
        <v>28</v>
      </c>
    </row>
    <row r="7" spans="2:11" x14ac:dyDescent="0.25">
      <c r="B7" s="26">
        <v>3238</v>
      </c>
      <c r="C7" s="24" t="s">
        <v>30</v>
      </c>
      <c r="D7" s="14">
        <v>30047390</v>
      </c>
      <c r="E7" s="24" t="s">
        <v>46</v>
      </c>
      <c r="F7" s="15">
        <f>201.5/290*100</f>
        <v>69.482758620689651</v>
      </c>
      <c r="G7" s="15">
        <f>200/290*100</f>
        <v>68.965517241379317</v>
      </c>
      <c r="H7" s="15">
        <v>69.224999999999994</v>
      </c>
      <c r="I7" s="47">
        <v>4</v>
      </c>
      <c r="J7" s="17"/>
      <c r="K7">
        <v>27</v>
      </c>
    </row>
    <row r="8" spans="2:11" x14ac:dyDescent="0.25">
      <c r="B8" s="26">
        <v>3955</v>
      </c>
      <c r="C8" s="24" t="s">
        <v>39</v>
      </c>
      <c r="D8" s="14">
        <v>30501563</v>
      </c>
      <c r="E8" s="24" t="s">
        <v>52</v>
      </c>
      <c r="F8" s="15">
        <f>197/290*100</f>
        <v>67.931034482758619</v>
      </c>
      <c r="G8" s="15">
        <f>200.5/290*100</f>
        <v>69.137931034482762</v>
      </c>
      <c r="H8" s="15">
        <v>68.534999999999997</v>
      </c>
      <c r="I8" s="47">
        <v>5</v>
      </c>
      <c r="J8" s="17"/>
      <c r="K8">
        <v>26</v>
      </c>
    </row>
    <row r="9" spans="2:11" x14ac:dyDescent="0.25">
      <c r="B9" s="26">
        <v>598</v>
      </c>
      <c r="C9" s="24" t="s">
        <v>34</v>
      </c>
      <c r="D9" s="14">
        <v>60005923</v>
      </c>
      <c r="E9" s="24" t="s">
        <v>48</v>
      </c>
      <c r="F9" s="15">
        <f>192/290*100</f>
        <v>66.206896551724142</v>
      </c>
      <c r="G9" s="15">
        <f>204.5/290*100</f>
        <v>70.517241379310349</v>
      </c>
      <c r="H9" s="15">
        <v>68.361999999999995</v>
      </c>
      <c r="I9" s="47">
        <v>6</v>
      </c>
      <c r="J9" s="17"/>
      <c r="K9">
        <v>25</v>
      </c>
    </row>
    <row r="10" spans="2:11" x14ac:dyDescent="0.25">
      <c r="B10" s="26">
        <v>3336</v>
      </c>
      <c r="C10" s="24" t="s">
        <v>45</v>
      </c>
      <c r="D10" s="14">
        <v>3105590</v>
      </c>
      <c r="E10" s="24" t="s">
        <v>56</v>
      </c>
      <c r="F10" s="15">
        <f>196.5/290*100</f>
        <v>67.758620689655174</v>
      </c>
      <c r="G10" s="15">
        <f>180.5/290*100</f>
        <v>62.241379310344826</v>
      </c>
      <c r="H10" s="15">
        <v>65</v>
      </c>
      <c r="I10" s="47">
        <v>7</v>
      </c>
      <c r="J10" s="17"/>
      <c r="K10">
        <v>24</v>
      </c>
    </row>
    <row r="11" spans="2:11" x14ac:dyDescent="0.25">
      <c r="B11" s="26">
        <v>3528</v>
      </c>
      <c r="C11" s="24" t="s">
        <v>44</v>
      </c>
      <c r="D11" s="14">
        <v>30400499</v>
      </c>
      <c r="E11" s="24" t="s">
        <v>55</v>
      </c>
      <c r="F11" s="15">
        <f>180.5/290*100</f>
        <v>62.241379310344826</v>
      </c>
      <c r="G11" s="15">
        <f>175.5/290*100</f>
        <v>60.517241379310349</v>
      </c>
      <c r="H11" s="15">
        <v>61.378999999999998</v>
      </c>
      <c r="I11" s="47">
        <v>8</v>
      </c>
      <c r="J11" s="17"/>
      <c r="K11">
        <v>23</v>
      </c>
    </row>
    <row r="12" spans="2:11" x14ac:dyDescent="0.25">
      <c r="B12" s="26" t="s">
        <v>37</v>
      </c>
      <c r="C12" s="24" t="s">
        <v>38</v>
      </c>
      <c r="D12" s="14">
        <v>30047099</v>
      </c>
      <c r="E12" s="24" t="s">
        <v>51</v>
      </c>
      <c r="F12" s="15">
        <f>172/290*100</f>
        <v>59.310344827586206</v>
      </c>
      <c r="G12" s="15">
        <f>178/290*100</f>
        <v>61.379310344827587</v>
      </c>
      <c r="H12" s="15">
        <v>60.344999999999999</v>
      </c>
      <c r="I12" s="47">
        <v>9</v>
      </c>
      <c r="J12" s="17">
        <v>1</v>
      </c>
      <c r="K12" s="59">
        <v>22</v>
      </c>
    </row>
    <row r="13" spans="2:11" x14ac:dyDescent="0.25">
      <c r="B13" s="26">
        <v>3797</v>
      </c>
      <c r="C13" s="24" t="s">
        <v>35</v>
      </c>
      <c r="D13" s="14">
        <v>30501164</v>
      </c>
      <c r="E13" s="24" t="s">
        <v>49</v>
      </c>
      <c r="F13" s="15">
        <f>174.5/290*100</f>
        <v>60.172413793103452</v>
      </c>
      <c r="G13" s="15">
        <f>175/290*100</f>
        <v>60.344827586206897</v>
      </c>
      <c r="H13" s="15">
        <v>60.259</v>
      </c>
      <c r="I13" s="47">
        <v>10</v>
      </c>
      <c r="J13" s="17">
        <v>2</v>
      </c>
      <c r="K13" s="59">
        <v>21</v>
      </c>
    </row>
    <row r="14" spans="2:11" x14ac:dyDescent="0.25">
      <c r="B14" s="26">
        <v>2719</v>
      </c>
      <c r="C14" s="24" t="s">
        <v>40</v>
      </c>
      <c r="D14" s="14">
        <v>30046520</v>
      </c>
      <c r="E14" s="24" t="s">
        <v>53</v>
      </c>
      <c r="F14" s="15">
        <f>176.5/290*100</f>
        <v>60.862068965517246</v>
      </c>
      <c r="G14" s="15">
        <f>171.5/290*100</f>
        <v>59.137931034482762</v>
      </c>
      <c r="H14" s="15">
        <v>60</v>
      </c>
      <c r="I14" s="47">
        <v>11</v>
      </c>
      <c r="J14" s="17">
        <v>3</v>
      </c>
      <c r="K14" s="59">
        <v>20</v>
      </c>
    </row>
    <row r="15" spans="2:11" ht="15.75" thickBot="1" x14ac:dyDescent="0.3">
      <c r="B15" s="48">
        <v>2956</v>
      </c>
      <c r="C15" s="33" t="s">
        <v>36</v>
      </c>
      <c r="D15" s="32">
        <v>30046924</v>
      </c>
      <c r="E15" s="33" t="s">
        <v>50</v>
      </c>
      <c r="F15" s="53">
        <f>170.5/290*100</f>
        <v>58.793103448275865</v>
      </c>
      <c r="G15" s="53">
        <f>175.5/290*100</f>
        <v>60.517241379310349</v>
      </c>
      <c r="H15" s="53">
        <v>59.655000000000001</v>
      </c>
      <c r="I15" s="41">
        <v>12</v>
      </c>
      <c r="J15" s="19"/>
      <c r="K15" s="59">
        <v>19</v>
      </c>
    </row>
    <row r="16" spans="2:11" x14ac:dyDescent="0.25">
      <c r="B16" s="26">
        <v>384</v>
      </c>
      <c r="C16" s="24" t="s">
        <v>33</v>
      </c>
      <c r="D16" s="14">
        <v>60005278</v>
      </c>
      <c r="E16" s="24" t="s">
        <v>47</v>
      </c>
      <c r="F16" s="14"/>
      <c r="G16" s="14"/>
      <c r="H16" s="14" t="s">
        <v>91</v>
      </c>
      <c r="I16" s="47"/>
      <c r="J16" s="17"/>
    </row>
    <row r="17" spans="2:10" x14ac:dyDescent="0.25">
      <c r="B17" s="26">
        <v>2974</v>
      </c>
      <c r="C17" s="24" t="s">
        <v>41</v>
      </c>
      <c r="D17" s="14">
        <v>30046952</v>
      </c>
      <c r="E17" s="24" t="s">
        <v>54</v>
      </c>
      <c r="F17" s="15"/>
      <c r="G17" s="15"/>
      <c r="H17" s="15" t="s">
        <v>84</v>
      </c>
      <c r="I17" s="47"/>
      <c r="J17" s="17"/>
    </row>
  </sheetData>
  <sortState ref="B4:H15">
    <sortCondition descending="1" ref="H4:H15"/>
  </sortState>
  <conditionalFormatting sqref="H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84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topLeftCell="B1" workbookViewId="0">
      <selection activeCell="L11" sqref="L11"/>
    </sheetView>
  </sheetViews>
  <sheetFormatPr defaultRowHeight="15" x14ac:dyDescent="0.25"/>
  <cols>
    <col min="3" max="3" width="17.28515625" customWidth="1"/>
    <col min="4" max="4" width="11.42578125" customWidth="1"/>
    <col min="5" max="6" width="21.5703125" customWidth="1"/>
    <col min="7" max="7" width="26.42578125" customWidth="1"/>
    <col min="8" max="8" width="18.5703125" customWidth="1"/>
    <col min="9" max="9" width="13.85546875" customWidth="1"/>
  </cols>
  <sheetData>
    <row r="1" spans="2:11" ht="15.75" thickBot="1" x14ac:dyDescent="0.3">
      <c r="B1" s="2">
        <v>3.2</v>
      </c>
      <c r="C1" s="2"/>
      <c r="D1" s="2"/>
      <c r="E1" s="2"/>
      <c r="F1" s="2"/>
      <c r="G1" s="2"/>
      <c r="H1" s="2"/>
      <c r="I1" s="2"/>
      <c r="J1" s="2"/>
    </row>
    <row r="2" spans="2:11" ht="15.75" thickBot="1" x14ac:dyDescent="0.3"/>
    <row r="3" spans="2:11" ht="31.5" customHeight="1" thickBot="1" x14ac:dyDescent="0.3">
      <c r="B3" s="5" t="s">
        <v>27</v>
      </c>
      <c r="C3" s="3" t="s">
        <v>23</v>
      </c>
      <c r="D3" s="3" t="s">
        <v>28</v>
      </c>
      <c r="E3" s="3" t="s">
        <v>24</v>
      </c>
      <c r="F3" s="3" t="s">
        <v>94</v>
      </c>
      <c r="G3" s="6" t="s">
        <v>87</v>
      </c>
      <c r="H3" s="3" t="s">
        <v>29</v>
      </c>
      <c r="I3" s="3" t="s">
        <v>26</v>
      </c>
      <c r="J3" s="4" t="s">
        <v>80</v>
      </c>
      <c r="K3" s="57" t="s">
        <v>92</v>
      </c>
    </row>
    <row r="4" spans="2:11" x14ac:dyDescent="0.25">
      <c r="B4" s="34">
        <v>2600</v>
      </c>
      <c r="C4" s="35" t="s">
        <v>61</v>
      </c>
      <c r="D4" s="36">
        <v>30046284</v>
      </c>
      <c r="E4" s="35" t="s">
        <v>72</v>
      </c>
      <c r="F4" s="61">
        <f>233.5/360*100</f>
        <v>64.861111111111114</v>
      </c>
      <c r="G4" s="37">
        <f>233/360*100</f>
        <v>64.722222222222229</v>
      </c>
      <c r="H4" s="37">
        <v>64.792000000000002</v>
      </c>
      <c r="I4" s="36">
        <v>1</v>
      </c>
      <c r="J4" s="39">
        <v>1</v>
      </c>
      <c r="K4">
        <v>30</v>
      </c>
    </row>
    <row r="5" spans="2:11" x14ac:dyDescent="0.25">
      <c r="B5" s="26">
        <v>2505</v>
      </c>
      <c r="C5" s="24" t="s">
        <v>64</v>
      </c>
      <c r="D5" s="14">
        <v>30046137</v>
      </c>
      <c r="E5" s="24" t="s">
        <v>75</v>
      </c>
      <c r="F5" s="60">
        <f>230.5/360*100</f>
        <v>64.027777777777771</v>
      </c>
      <c r="G5" s="15">
        <f>232.5/360*100</f>
        <v>64.583333333333343</v>
      </c>
      <c r="H5" s="15">
        <v>64.305999999999997</v>
      </c>
      <c r="I5" s="14">
        <v>2</v>
      </c>
      <c r="J5" s="17"/>
      <c r="K5">
        <v>29</v>
      </c>
    </row>
    <row r="6" spans="2:11" x14ac:dyDescent="0.25">
      <c r="B6" s="26">
        <v>3351</v>
      </c>
      <c r="C6" s="24" t="s">
        <v>67</v>
      </c>
      <c r="D6" s="14">
        <v>30047618</v>
      </c>
      <c r="E6" s="24" t="s">
        <v>78</v>
      </c>
      <c r="F6" s="60">
        <f>222.5/360*100</f>
        <v>61.805555555555557</v>
      </c>
      <c r="G6" s="15">
        <f>240/360*100</f>
        <v>66.666666666666657</v>
      </c>
      <c r="H6" s="15">
        <v>64.236000000000004</v>
      </c>
      <c r="I6" s="14">
        <v>3</v>
      </c>
      <c r="J6" s="17"/>
      <c r="K6">
        <v>28</v>
      </c>
    </row>
    <row r="7" spans="2:11" x14ac:dyDescent="0.25">
      <c r="B7" s="26">
        <v>2069</v>
      </c>
      <c r="C7" s="24" t="s">
        <v>68</v>
      </c>
      <c r="D7" s="14">
        <v>30045532</v>
      </c>
      <c r="E7" s="24" t="s">
        <v>1</v>
      </c>
      <c r="F7" s="60">
        <f>224/360*100</f>
        <v>62.222222222222221</v>
      </c>
      <c r="G7" s="15">
        <f>227.5/360*100</f>
        <v>63.194444444444443</v>
      </c>
      <c r="H7" s="15">
        <v>62.707999999999998</v>
      </c>
      <c r="I7" s="14">
        <v>4</v>
      </c>
      <c r="J7" s="17"/>
      <c r="K7">
        <v>27</v>
      </c>
    </row>
    <row r="8" spans="2:11" x14ac:dyDescent="0.25">
      <c r="B8" s="26">
        <v>4248</v>
      </c>
      <c r="C8" s="24" t="s">
        <v>66</v>
      </c>
      <c r="D8" s="14">
        <v>20090001</v>
      </c>
      <c r="E8" s="24" t="s">
        <v>77</v>
      </c>
      <c r="F8" s="60">
        <f>224/360*100</f>
        <v>62.222222222222221</v>
      </c>
      <c r="G8" s="15">
        <f>225.5/360*100</f>
        <v>62.638888888888886</v>
      </c>
      <c r="H8" s="15">
        <v>62.430999999999997</v>
      </c>
      <c r="I8" s="14">
        <v>5</v>
      </c>
      <c r="J8" s="17">
        <v>2</v>
      </c>
      <c r="K8">
        <v>26</v>
      </c>
    </row>
    <row r="9" spans="2:11" x14ac:dyDescent="0.25">
      <c r="B9" s="26">
        <v>2182</v>
      </c>
      <c r="C9" s="24" t="s">
        <v>60</v>
      </c>
      <c r="D9" s="14">
        <v>30045711</v>
      </c>
      <c r="E9" s="24" t="s">
        <v>71</v>
      </c>
      <c r="F9" s="60">
        <f>209/360*100</f>
        <v>58.055555555555557</v>
      </c>
      <c r="G9" s="15">
        <f>225.5/360*100</f>
        <v>62.638888888888886</v>
      </c>
      <c r="H9" s="15">
        <v>60.347999999999999</v>
      </c>
      <c r="I9" s="14">
        <v>6</v>
      </c>
      <c r="J9" s="17"/>
      <c r="K9">
        <v>25</v>
      </c>
    </row>
    <row r="10" spans="2:11" x14ac:dyDescent="0.25">
      <c r="B10" s="26" t="s">
        <v>58</v>
      </c>
      <c r="C10" s="24" t="s">
        <v>59</v>
      </c>
      <c r="D10" s="14">
        <v>30500986</v>
      </c>
      <c r="E10" s="24" t="s">
        <v>70</v>
      </c>
      <c r="F10" s="60">
        <f>209.5/360*100</f>
        <v>58.19444444444445</v>
      </c>
      <c r="G10" s="15">
        <f>224.5/360*100</f>
        <v>62.361111111111114</v>
      </c>
      <c r="H10" s="15">
        <v>60.277999999999999</v>
      </c>
      <c r="I10" s="14">
        <v>7</v>
      </c>
      <c r="J10" s="17">
        <v>3</v>
      </c>
      <c r="K10">
        <v>24</v>
      </c>
    </row>
    <row r="11" spans="2:11" x14ac:dyDescent="0.25">
      <c r="B11" s="26">
        <v>2752</v>
      </c>
      <c r="C11" s="24" t="s">
        <v>63</v>
      </c>
      <c r="D11" s="14">
        <v>30046603</v>
      </c>
      <c r="E11" s="24" t="s">
        <v>74</v>
      </c>
      <c r="F11" s="60">
        <f>193.5/360*100</f>
        <v>53.75</v>
      </c>
      <c r="G11" s="15">
        <f>206.5/360*100</f>
        <v>57.361111111111107</v>
      </c>
      <c r="H11" s="15">
        <v>55.555999999999997</v>
      </c>
      <c r="I11" s="14">
        <v>8</v>
      </c>
      <c r="J11" s="17">
        <v>4</v>
      </c>
      <c r="K11">
        <v>23</v>
      </c>
    </row>
    <row r="12" spans="2:11" x14ac:dyDescent="0.25">
      <c r="B12" s="26">
        <v>3970</v>
      </c>
      <c r="C12" s="24" t="s">
        <v>65</v>
      </c>
      <c r="D12" s="14">
        <v>30501460</v>
      </c>
      <c r="E12" s="24" t="s">
        <v>76</v>
      </c>
      <c r="F12" s="60">
        <f>192.5/360*100</f>
        <v>53.472222222222221</v>
      </c>
      <c r="G12" s="15">
        <f>198.5/360*100</f>
        <v>55.138888888888893</v>
      </c>
      <c r="H12" s="15">
        <v>54.305999999999997</v>
      </c>
      <c r="I12" s="14">
        <v>9</v>
      </c>
      <c r="J12" s="17"/>
      <c r="K12">
        <v>22</v>
      </c>
    </row>
    <row r="13" spans="2:11" x14ac:dyDescent="0.25">
      <c r="B13" s="26">
        <v>4133</v>
      </c>
      <c r="C13" s="24" t="s">
        <v>57</v>
      </c>
      <c r="D13" s="14">
        <v>20087948</v>
      </c>
      <c r="E13" s="24" t="s">
        <v>69</v>
      </c>
      <c r="F13" s="60">
        <f>193/360*100</f>
        <v>53.611111111111107</v>
      </c>
      <c r="G13" s="15">
        <f>196/360*100</f>
        <v>54.444444444444443</v>
      </c>
      <c r="H13" s="15">
        <v>54.027999999999999</v>
      </c>
      <c r="I13" s="14">
        <v>10</v>
      </c>
      <c r="J13" s="17">
        <v>5</v>
      </c>
      <c r="K13">
        <v>21</v>
      </c>
    </row>
    <row r="14" spans="2:11" ht="15.75" thickBot="1" x14ac:dyDescent="0.3">
      <c r="B14" s="48">
        <v>2022</v>
      </c>
      <c r="C14" s="33" t="s">
        <v>62</v>
      </c>
      <c r="D14" s="32">
        <v>30045460</v>
      </c>
      <c r="E14" s="33" t="s">
        <v>73</v>
      </c>
      <c r="F14" s="62">
        <f>189.5/360*100</f>
        <v>52.638888888888893</v>
      </c>
      <c r="G14" s="53">
        <f>199/360*100</f>
        <v>55.277777777777779</v>
      </c>
      <c r="H14" s="53">
        <v>53.959000000000003</v>
      </c>
      <c r="I14" s="32">
        <v>11</v>
      </c>
      <c r="J14" s="19">
        <v>6</v>
      </c>
    </row>
    <row r="16" spans="2:11" x14ac:dyDescent="0.25">
      <c r="K16" s="1"/>
    </row>
  </sheetData>
  <sortState ref="B4:H14">
    <sortCondition descending="1" ref="H4:H14"/>
  </sortState>
  <pageMargins left="0.7" right="0.7" top="0.75" bottom="0.75" header="0.3" footer="0.3"/>
  <pageSetup scale="77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4"/>
  <sheetViews>
    <sheetView tabSelected="1" workbookViewId="0">
      <selection activeCell="G9" sqref="G9"/>
    </sheetView>
  </sheetViews>
  <sheetFormatPr defaultRowHeight="15" x14ac:dyDescent="0.25"/>
  <cols>
    <col min="3" max="3" width="17.28515625" customWidth="1"/>
    <col min="4" max="4" width="12.42578125" customWidth="1"/>
    <col min="5" max="5" width="22.28515625" customWidth="1"/>
    <col min="6" max="6" width="13.7109375" customWidth="1"/>
    <col min="7" max="9" width="13.85546875" customWidth="1"/>
  </cols>
  <sheetData>
    <row r="1" spans="2:12" ht="15.75" thickBot="1" x14ac:dyDescent="0.3">
      <c r="B1" s="2">
        <v>3.3</v>
      </c>
      <c r="C1" s="2"/>
      <c r="D1" s="2"/>
      <c r="E1" s="2"/>
      <c r="F1" s="2"/>
      <c r="G1" s="2"/>
      <c r="H1" s="2"/>
      <c r="I1" s="2"/>
      <c r="J1" s="2"/>
    </row>
    <row r="2" spans="2:12" ht="15.75" thickBot="1" x14ac:dyDescent="0.3"/>
    <row r="3" spans="2:12" ht="30.75" thickBot="1" x14ac:dyDescent="0.3">
      <c r="B3" s="5" t="s">
        <v>27</v>
      </c>
      <c r="C3" s="3" t="s">
        <v>23</v>
      </c>
      <c r="D3" s="3" t="s">
        <v>28</v>
      </c>
      <c r="E3" s="3" t="s">
        <v>24</v>
      </c>
      <c r="F3" s="6" t="s">
        <v>88</v>
      </c>
      <c r="G3" s="6" t="s">
        <v>89</v>
      </c>
      <c r="H3" s="3" t="s">
        <v>29</v>
      </c>
      <c r="I3" s="3" t="s">
        <v>26</v>
      </c>
      <c r="J3" s="4" t="s">
        <v>80</v>
      </c>
      <c r="K3" s="57" t="s">
        <v>92</v>
      </c>
    </row>
    <row r="4" spans="2:12" x14ac:dyDescent="0.25">
      <c r="B4" s="34">
        <v>3351</v>
      </c>
      <c r="C4" s="35" t="s">
        <v>67</v>
      </c>
      <c r="D4" s="36">
        <v>30047618</v>
      </c>
      <c r="E4" s="35" t="s">
        <v>78</v>
      </c>
      <c r="F4" s="37">
        <f>256/400*100</f>
        <v>64</v>
      </c>
      <c r="G4" s="37">
        <f>277/400*100</f>
        <v>69.25</v>
      </c>
      <c r="H4" s="36">
        <v>66.625</v>
      </c>
      <c r="I4" s="36">
        <v>1</v>
      </c>
      <c r="J4" s="39"/>
      <c r="K4">
        <v>30</v>
      </c>
      <c r="L4">
        <v>58</v>
      </c>
    </row>
    <row r="5" spans="2:12" x14ac:dyDescent="0.25">
      <c r="B5" s="26">
        <v>2182</v>
      </c>
      <c r="C5" s="24" t="s">
        <v>60</v>
      </c>
      <c r="D5" s="14">
        <v>30045711</v>
      </c>
      <c r="E5" s="24" t="s">
        <v>71</v>
      </c>
      <c r="F5" s="15">
        <f>260.5/400*100</f>
        <v>65.125</v>
      </c>
      <c r="G5" s="15">
        <f>268/400*100</f>
        <v>67</v>
      </c>
      <c r="H5" s="14">
        <v>66.063000000000002</v>
      </c>
      <c r="I5" s="14">
        <v>2</v>
      </c>
      <c r="J5" s="17"/>
      <c r="K5">
        <v>29</v>
      </c>
      <c r="L5">
        <v>54</v>
      </c>
    </row>
    <row r="6" spans="2:12" x14ac:dyDescent="0.25">
      <c r="B6" s="26">
        <v>4248</v>
      </c>
      <c r="C6" s="24" t="s">
        <v>66</v>
      </c>
      <c r="D6" s="14">
        <v>20090001</v>
      </c>
      <c r="E6" s="24" t="s">
        <v>77</v>
      </c>
      <c r="F6" s="15">
        <f>260/400*100</f>
        <v>65</v>
      </c>
      <c r="G6" s="15">
        <f>267/400*100</f>
        <v>66.75</v>
      </c>
      <c r="H6" s="14">
        <v>65.875</v>
      </c>
      <c r="I6" s="14">
        <v>3</v>
      </c>
      <c r="J6" s="17">
        <v>1</v>
      </c>
      <c r="K6" s="63">
        <v>28</v>
      </c>
      <c r="L6" s="56">
        <v>54</v>
      </c>
    </row>
    <row r="7" spans="2:12" x14ac:dyDescent="0.25">
      <c r="B7" s="26">
        <v>2752</v>
      </c>
      <c r="C7" s="24" t="s">
        <v>63</v>
      </c>
      <c r="D7" s="14">
        <v>30046603</v>
      </c>
      <c r="E7" s="24" t="s">
        <v>74</v>
      </c>
      <c r="F7" s="15">
        <f>256.5/400*100</f>
        <v>64.125</v>
      </c>
      <c r="G7" s="15">
        <f>269/400*100</f>
        <v>67.25</v>
      </c>
      <c r="H7" s="14">
        <v>65.688000000000002</v>
      </c>
      <c r="I7" s="14">
        <v>4</v>
      </c>
      <c r="J7" s="17">
        <v>2</v>
      </c>
      <c r="K7" s="63">
        <v>27</v>
      </c>
      <c r="L7" s="56">
        <v>50</v>
      </c>
    </row>
    <row r="8" spans="2:12" x14ac:dyDescent="0.25">
      <c r="B8" s="26">
        <v>2600</v>
      </c>
      <c r="C8" s="24" t="s">
        <v>61</v>
      </c>
      <c r="D8" s="14">
        <v>30046284</v>
      </c>
      <c r="E8" s="24" t="s">
        <v>72</v>
      </c>
      <c r="F8" s="15">
        <f>266/400*100</f>
        <v>66.5</v>
      </c>
      <c r="G8" s="15">
        <f>258/400*100</f>
        <v>64.5</v>
      </c>
      <c r="H8" s="15">
        <v>65.5</v>
      </c>
      <c r="I8" s="14">
        <v>5</v>
      </c>
      <c r="J8" s="17">
        <v>3</v>
      </c>
      <c r="K8" s="63">
        <v>26</v>
      </c>
      <c r="L8" s="56">
        <v>56</v>
      </c>
    </row>
    <row r="9" spans="2:12" x14ac:dyDescent="0.25">
      <c r="B9" s="26" t="s">
        <v>58</v>
      </c>
      <c r="C9" s="24" t="s">
        <v>59</v>
      </c>
      <c r="D9" s="14">
        <v>30500986</v>
      </c>
      <c r="E9" s="24" t="s">
        <v>70</v>
      </c>
      <c r="F9" s="15">
        <f>253/400*100</f>
        <v>63.249999999999993</v>
      </c>
      <c r="G9" s="15">
        <f>262.5/400*100</f>
        <v>65.625</v>
      </c>
      <c r="H9" s="14">
        <v>64.438000000000002</v>
      </c>
      <c r="I9" s="14">
        <v>6</v>
      </c>
      <c r="J9" s="17">
        <v>4</v>
      </c>
      <c r="K9" s="63">
        <v>25</v>
      </c>
      <c r="L9" s="56">
        <v>49</v>
      </c>
    </row>
    <row r="10" spans="2:12" x14ac:dyDescent="0.25">
      <c r="B10" s="26">
        <v>2505</v>
      </c>
      <c r="C10" s="24" t="s">
        <v>64</v>
      </c>
      <c r="D10" s="14">
        <v>30046137</v>
      </c>
      <c r="E10" s="24" t="s">
        <v>75</v>
      </c>
      <c r="F10" s="15">
        <f>252.5/400*100</f>
        <v>63.125</v>
      </c>
      <c r="G10" s="15">
        <f>262.5/400*100</f>
        <v>65.625</v>
      </c>
      <c r="H10" s="14">
        <v>64.375</v>
      </c>
      <c r="I10" s="14">
        <v>7</v>
      </c>
      <c r="J10" s="17"/>
      <c r="K10" s="63">
        <v>24</v>
      </c>
      <c r="L10" s="56">
        <v>53</v>
      </c>
    </row>
    <row r="11" spans="2:12" x14ac:dyDescent="0.25">
      <c r="B11" s="26">
        <v>3970</v>
      </c>
      <c r="C11" s="24" t="s">
        <v>65</v>
      </c>
      <c r="D11" s="14">
        <v>30501460</v>
      </c>
      <c r="E11" s="24" t="s">
        <v>76</v>
      </c>
      <c r="F11" s="15">
        <f>251.5/400*100</f>
        <v>62.875</v>
      </c>
      <c r="G11" s="15">
        <f>257.5/400*100</f>
        <v>64.375</v>
      </c>
      <c r="H11" s="14">
        <v>63.625</v>
      </c>
      <c r="I11" s="14">
        <v>8</v>
      </c>
      <c r="J11" s="17"/>
      <c r="K11" s="63">
        <v>23</v>
      </c>
    </row>
    <row r="12" spans="2:12" x14ac:dyDescent="0.25">
      <c r="B12" s="26">
        <v>4133</v>
      </c>
      <c r="C12" s="24" t="s">
        <v>57</v>
      </c>
      <c r="D12" s="14">
        <v>20087948</v>
      </c>
      <c r="E12" s="24" t="s">
        <v>69</v>
      </c>
      <c r="F12" s="15">
        <f>228.5/400*100</f>
        <v>57.125</v>
      </c>
      <c r="G12" s="15">
        <f>230.5/400*100</f>
        <v>57.625000000000007</v>
      </c>
      <c r="H12" s="14">
        <v>57.375</v>
      </c>
      <c r="I12" s="14">
        <v>9</v>
      </c>
      <c r="J12" s="17">
        <v>5</v>
      </c>
      <c r="K12" s="63">
        <v>22</v>
      </c>
    </row>
    <row r="13" spans="2:12" x14ac:dyDescent="0.25">
      <c r="B13" s="26">
        <v>2022</v>
      </c>
      <c r="C13" s="24" t="s">
        <v>62</v>
      </c>
      <c r="D13" s="14">
        <v>30045460</v>
      </c>
      <c r="E13" s="24" t="s">
        <v>73</v>
      </c>
      <c r="F13" s="15"/>
      <c r="G13" s="15"/>
      <c r="H13" s="14" t="s">
        <v>95</v>
      </c>
      <c r="I13" s="14"/>
      <c r="J13" s="17"/>
    </row>
    <row r="14" spans="2:12" ht="15.75" thickBot="1" x14ac:dyDescent="0.3">
      <c r="B14" s="48">
        <v>2069</v>
      </c>
      <c r="C14" s="33" t="s">
        <v>68</v>
      </c>
      <c r="D14" s="32">
        <v>30045532</v>
      </c>
      <c r="E14" s="33" t="s">
        <v>1</v>
      </c>
      <c r="F14" s="32"/>
      <c r="G14" s="32"/>
      <c r="H14" s="32" t="s">
        <v>95</v>
      </c>
      <c r="I14" s="32"/>
      <c r="J14" s="19"/>
    </row>
  </sheetData>
  <sortState ref="B4:H12">
    <sortCondition descending="1" ref="H4:H12"/>
  </sortState>
  <pageMargins left="0.7" right="0.7" top="0.75" bottom="0.75" header="0.3" footer="0.3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1.2</vt:lpstr>
      <vt:lpstr>2.2</vt:lpstr>
      <vt:lpstr>2.3</vt:lpstr>
      <vt:lpstr>3.2</vt:lpstr>
      <vt:lpstr>3.3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BRAGGE Michael</cp:lastModifiedBy>
  <cp:lastPrinted>2016-03-13T07:46:34Z</cp:lastPrinted>
  <dcterms:created xsi:type="dcterms:W3CDTF">2016-03-12T21:00:15Z</dcterms:created>
  <dcterms:modified xsi:type="dcterms:W3CDTF">2016-03-13T07:52:27Z</dcterms:modified>
</cp:coreProperties>
</file>